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50 лет д13" sheetId="1" r:id="rId1"/>
    <sheet name="50 лет д12" sheetId="2" r:id="rId2"/>
    <sheet name="50 лет д11" sheetId="3" r:id="rId3"/>
    <sheet name="50 лет д10" sheetId="4" r:id="rId4"/>
    <sheet name="50 лет д8" sheetId="5" r:id="rId5"/>
  </sheets>
  <definedNames/>
  <calcPr fullCalcOnLoad="1"/>
</workbook>
</file>

<file path=xl/sharedStrings.xml><?xml version="1.0" encoding="utf-8"?>
<sst xmlns="http://schemas.openxmlformats.org/spreadsheetml/2006/main" count="854" uniqueCount="146">
  <si>
    <t>Отчет МУП ГО Заречный "Единый город" о выполненных за отчетный период 2015 год работах (услугах) по договору управления МКД</t>
  </si>
  <si>
    <t>Дата составления отчета - 29 февраля 2016 г</t>
  </si>
  <si>
    <r>
      <t xml:space="preserve">Адрес: </t>
    </r>
    <r>
      <rPr>
        <b/>
        <sz val="11"/>
        <color indexed="8"/>
        <rFont val="Arial"/>
        <family val="2"/>
      </rPr>
      <t>г.Заречный, ул. 50 лет ВЛКСМ дом 13</t>
    </r>
  </si>
  <si>
    <t>Договора на управление от 01.12.2014 года</t>
  </si>
  <si>
    <t>Период отчета с 01.01.2015 г по 31.12.2015 г.</t>
  </si>
  <si>
    <t>Общая площадь - 806,8 м2</t>
  </si>
  <si>
    <t>Количество квартир - 18</t>
  </si>
  <si>
    <t xml:space="preserve"> Вид жилищной услуги</t>
  </si>
  <si>
    <t>Авансовые платежи потребителей (на начало периода), руб</t>
  </si>
  <si>
    <t>Переходящие остатки денежных средств (на начало периода), руб</t>
  </si>
  <si>
    <t>Задолженность потребителей (на начало периода), руб</t>
  </si>
  <si>
    <t xml:space="preserve">Начислено за работы (услуги) за 2015 год, руб                           </t>
  </si>
  <si>
    <t>Получено денежных средств за 2015 год, в том числе</t>
  </si>
  <si>
    <t>РАСХОДЫ за 2015 год, руб</t>
  </si>
  <si>
    <t>Авансовые платежи потребителей (на конец периода), руб</t>
  </si>
  <si>
    <t>Переходящие остатки денежных средств (на конец периода), руб</t>
  </si>
  <si>
    <t>Задолженность потребителей (на конец периода), руб</t>
  </si>
  <si>
    <t>Процент собираемости, %</t>
  </si>
  <si>
    <t>денежных средств от собственников / нанимателей помещений, руб</t>
  </si>
  <si>
    <t>целевых взносов от собственников / нанимателей помещений, руб</t>
  </si>
  <si>
    <t>субсидий, руб</t>
  </si>
  <si>
    <t>денежных средств от использования общего имущества, руб</t>
  </si>
  <si>
    <t>прочие поступления, руб</t>
  </si>
  <si>
    <t>ВСЕГО денежных средств с учетом остатков, руб</t>
  </si>
  <si>
    <t>Содержание жилья, в том числе:</t>
  </si>
  <si>
    <t>- содержание земельного участка с элементами озеленения и благоустройства (придомовая территория), входящая в состав общего имущества</t>
  </si>
  <si>
    <t>- подготовка многоквартирного дома к сезонной эксплуатации</t>
  </si>
  <si>
    <t>- обслуживание и устранение незначительных неисправностей, проведение технических осмотров строительных конструкций, инженерного оборудования</t>
  </si>
  <si>
    <t>- аварийно-диспетчерское обслуживание</t>
  </si>
  <si>
    <t>- услуга вывоза и обезвреживания твердых бытовых отходов</t>
  </si>
  <si>
    <t>- управление многоквартирным домом</t>
  </si>
  <si>
    <t>- текущий ремонт общего имущества</t>
  </si>
  <si>
    <t>Найм жилья</t>
  </si>
  <si>
    <t>Итого за жилищные услуги:</t>
  </si>
  <si>
    <t xml:space="preserve"> Вид коммунальной услуги</t>
  </si>
  <si>
    <t>Единица измерения</t>
  </si>
  <si>
    <t>Общий объем потребления</t>
  </si>
  <si>
    <t xml:space="preserve">Начислено потребителям за 2015 год, руб                           </t>
  </si>
  <si>
    <t>Оплачено потребителями за 2015 год, руб</t>
  </si>
  <si>
    <t xml:space="preserve">Поставщик коммунальных услуг </t>
  </si>
  <si>
    <t>Начислено поставщиком (поставщиками) коммунального ресурса 2015 год, руб</t>
  </si>
  <si>
    <t>Оплачено поставщику (поставщикам) коммунального ресурса 2015 год, руб</t>
  </si>
  <si>
    <t>Задолженность перед поставщиком (поставщиками) коммунального ресурса 2015 год, руб</t>
  </si>
  <si>
    <t>Размер пени и штрафов, уплаченные поставщику (поставщикам) коммунального ресурса, руб</t>
  </si>
  <si>
    <t>ХВС для ГВС</t>
  </si>
  <si>
    <t>м3</t>
  </si>
  <si>
    <t>МУП ГОЗ "Теплоцентраль</t>
  </si>
  <si>
    <t>Подогрев (Гкал)</t>
  </si>
  <si>
    <t>Гкал</t>
  </si>
  <si>
    <t>Отопление</t>
  </si>
  <si>
    <t>ХВС</t>
  </si>
  <si>
    <t>МУП ГОЗ "Теплоснабжение"</t>
  </si>
  <si>
    <t>Водоотведение</t>
  </si>
  <si>
    <t>Итого за коммунальные услуги:</t>
  </si>
  <si>
    <t>Перечень фактически выполненных работ и оказанных услуг</t>
  </si>
  <si>
    <t>Наименование работы (услуги), выполняемой в рамках указанного раздела работ (услуг) в отчетном периоде</t>
  </si>
  <si>
    <t>Стоимость за единицу измерения</t>
  </si>
  <si>
    <t>Годовая фактическая стоимость работ (услуг)</t>
  </si>
  <si>
    <t>Периодичность выполнения работ (оказания услуг)</t>
  </si>
  <si>
    <t>Поставщик услуг</t>
  </si>
  <si>
    <t>Примечание</t>
  </si>
  <si>
    <t>Фонд содержания общего имущества:</t>
  </si>
  <si>
    <t>Содержание земельного участка с элементами озеленения и благоустройства (придомовая территория), входящая в состав общего имущества, в том числе:</t>
  </si>
  <si>
    <t>МУП ГОЗ "Единый город"</t>
  </si>
  <si>
    <t>Подметание  территории с усовершенствованным и неусовершенствованным покрытием в летний и зимний период (ежедневно в рабочие дни); Сезонное выкашивание газонов (1 раз в год); Уборка мусора с газона в летний период (1 раз в двое суток в рабочие дни); Очистка урн (ежедневно в рабочие дни); Уборка площадки перед входом в подъезд (ежедневно в рабочие дни); Очистка участка территории после механизированной уборки в холодный период (по мере необходимости); Очистка территории от уплотненного снега и наледи (по мере необходимости); Посыпка территории песком (тротуар перед подъездом), с учетом доставки и стоимости песка (1 раз в сутки в дни гололеда); Вывоз мусора от дворников (смёт), крупногабаритный мусор с погрузкой (валка деревьев, кустарников, отдельных ветвей с вывозом, строительный мусор и т.д.) (по мере необходимости).</t>
  </si>
  <si>
    <t>- уборка мусора с газонов</t>
  </si>
  <si>
    <t>усл</t>
  </si>
  <si>
    <t>1 раз в двое суток в рабочие дни</t>
  </si>
  <si>
    <t>- уборка крупногабаритного мусора (погрузка, вывоз)</t>
  </si>
  <si>
    <t>по мере необходимости</t>
  </si>
  <si>
    <t>- сезонное выкашивание газонов</t>
  </si>
  <si>
    <t>1 раз в год</t>
  </si>
  <si>
    <t>- очистка территории от уплотненного снега и наледи</t>
  </si>
  <si>
    <t>- посыпка песком тротуаров</t>
  </si>
  <si>
    <t>1 раз в сутки в дни гололеда</t>
  </si>
  <si>
    <t>Подготовка многоквартирного дома к сезонной эксплуатации, в том числе:</t>
  </si>
  <si>
    <t>Техническое обслуживание внутридомовых систем водоснабжения, теплоснабжения и канализации (1 раз в год); Подготовка объектов внешнего благоустройства к сезонной эксплуатации (1 раз в год); Ремонт и укрепление входных дверей в помещениях общего пользования (не более 5 % от общего количества) (1 раз в год, по мере необходимости)</t>
  </si>
  <si>
    <t>- установка урн у подъездов</t>
  </si>
  <si>
    <t>июнь 2015</t>
  </si>
  <si>
    <t>- подключение отопления, спуск воздуха, осмотр</t>
  </si>
  <si>
    <t>- составление паспорта готовности МКД к зиме</t>
  </si>
  <si>
    <t>Обслуживание и устранение незначительных неисправностей, проведение технических осмотров строительных конструкций, инженерного оборудования, в том числе:</t>
  </si>
  <si>
    <t>Устранение незначительных неисправностей (по мере необходимости); Проведение технических осмотров на внутриквартирных и внутридомовых системах водоснабжения,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 (1 раз в год)</t>
  </si>
  <si>
    <t>- дезинсекция против блох, клопов</t>
  </si>
  <si>
    <t>сентябрь 2015</t>
  </si>
  <si>
    <t>- прочистка (промывка) канализации</t>
  </si>
  <si>
    <t>- устранение протечек в системах отопления, ХВС, ГВС</t>
  </si>
  <si>
    <t>Аварийно-диспетчерское обслуживание</t>
  </si>
  <si>
    <t>ежедневно</t>
  </si>
  <si>
    <t xml:space="preserve">Вывоз, размещение и обезвреживание мусора </t>
  </si>
  <si>
    <t>2 раза в неделю</t>
  </si>
  <si>
    <t>ИП Калабурдин, ИП Костенко</t>
  </si>
  <si>
    <t>Управление многоквартирным домом</t>
  </si>
  <si>
    <t>Текущий ремонт общего имущества, в том числе:</t>
  </si>
  <si>
    <t>Очистка кровли от растительности</t>
  </si>
  <si>
    <t>Ремонт межпанельных швов</t>
  </si>
  <si>
    <t>июль 2015</t>
  </si>
  <si>
    <t>Ремонт систем отопления, ГВС, ХВС</t>
  </si>
  <si>
    <t>октябрь 2015</t>
  </si>
  <si>
    <t>Информация о наличии претензий по качеству выполненных работ (оказанных услуг)</t>
  </si>
  <si>
    <t>Жилищные</t>
  </si>
  <si>
    <t>Коммунальные</t>
  </si>
  <si>
    <t>Дополнительная информация:</t>
  </si>
  <si>
    <t>Количество поступивших претензий</t>
  </si>
  <si>
    <t>ед</t>
  </si>
  <si>
    <t>1) Изменений перечня работ, услуг по надлежащему содержанию и ремонту общего имущества в многоквартирном доме, перечня работ (услуг) по управлению МКД в соответствии с порядком, установленным условиями договора управления не проводилось.</t>
  </si>
  <si>
    <t>Количество удовлетворенных претензий</t>
  </si>
  <si>
    <t xml:space="preserve">2) Договоры об использовании общего имущества собственников помещений, от имени собственников помещений в МКД не заключались. </t>
  </si>
  <si>
    <t>Количество претензий, в удовлетворении которых отказано</t>
  </si>
  <si>
    <t>3) Взысканий, штрафах, и иных санкциях к МУП ГО Заречный "Единый город" со стороны органов государственного жилищного контроля и надзора, а также судебных исках, в которых истцом или ответчиком выступает МУП ГО Заречный "Единый город" не было.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</si>
  <si>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</si>
  <si>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</si>
  <si>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</si>
  <si>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</si>
  <si>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</si>
  <si>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</si>
  <si>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И.о. директора ___________________</t>
  </si>
  <si>
    <t>Изгагин О.М.</t>
  </si>
  <si>
    <r>
      <t xml:space="preserve">Адрес: </t>
    </r>
    <r>
      <rPr>
        <b/>
        <sz val="11"/>
        <color indexed="8"/>
        <rFont val="Arial"/>
        <family val="2"/>
      </rPr>
      <t>г.Заречный, ул. 50 лет ВЛКСМ дом 12</t>
    </r>
  </si>
  <si>
    <t>Общая площадь - 806,6 м2</t>
  </si>
  <si>
    <t>- уборка мусора из подвала</t>
  </si>
  <si>
    <t>Замена подъездных козырьков</t>
  </si>
  <si>
    <t>август 2015</t>
  </si>
  <si>
    <t>Ремонт систем ГВС, ХВС</t>
  </si>
  <si>
    <t>3) Cудебных исков, в которых истцом или ответчиком выступает МУП ГО Заречный "Единый город" не было.</t>
  </si>
  <si>
    <t>4) К МУП ГО Заречный "Единый город" было 1 предписание со стороны органов государственного жилищного контроля и надзора. Выявленные нарушения были устранены.</t>
  </si>
  <si>
    <r>
      <t xml:space="preserve">Адрес: </t>
    </r>
    <r>
      <rPr>
        <b/>
        <sz val="11"/>
        <color indexed="8"/>
        <rFont val="Arial"/>
        <family val="2"/>
      </rPr>
      <t>г.Заречный, ул. 50 лет ВЛКСМ дом 11</t>
    </r>
  </si>
  <si>
    <t>Общая площадь - 807,7 м2</t>
  </si>
  <si>
    <t>Ремонт примыканий подъездных козырьков</t>
  </si>
  <si>
    <t>Косметический ремонт подъездов</t>
  </si>
  <si>
    <t>Ремонт системы канализации и ХВС</t>
  </si>
  <si>
    <r>
      <t xml:space="preserve">Адрес: </t>
    </r>
    <r>
      <rPr>
        <b/>
        <sz val="11"/>
        <color indexed="8"/>
        <rFont val="Arial"/>
        <family val="2"/>
      </rPr>
      <t>г.Заречный, ул. 50 лет ВЛКСМ дом 10</t>
    </r>
  </si>
  <si>
    <t>Общая площадь - 791,8 м2</t>
  </si>
  <si>
    <t>Ремонт стояков ГВС, ХВС и канализации</t>
  </si>
  <si>
    <t>февраль 2015</t>
  </si>
  <si>
    <t>Восстановление подъездных примыканий</t>
  </si>
  <si>
    <t>1) Случаев нарушения периодичности и качества предоставления коммунальных услуг, в том числе по вине МУП ГО Заречный "Единый город" не выявлено.</t>
  </si>
  <si>
    <t>2) Изменений перечня работ, услуг по надлежащему содержанию и ремонту общего имущества в многоквартирном доме, перечня работ (услуг) по управлению МКД в соответствии с порядком, установленным условиями договора управления не проводилось.</t>
  </si>
  <si>
    <t xml:space="preserve">3) Договоры об использовании общего имущества собственников помещений, от имени собственников помещений в МКД не заключались. </t>
  </si>
  <si>
    <t>4) Взысканий, штрафах, и иных санкциях к МУП ГО Заречный "Единый город" со стороны органов государственного жилищного контроля и надзора, а также судебных исках, в которых истцом или ответчиком выступает МУП ГО Заречный "Единый город" не было.</t>
  </si>
  <si>
    <r>
      <t xml:space="preserve">Адрес: </t>
    </r>
    <r>
      <rPr>
        <b/>
        <sz val="11"/>
        <color indexed="8"/>
        <rFont val="Arial"/>
        <family val="2"/>
      </rPr>
      <t>г.Заречный, ул. 50 лет ВЛКСМ дом 8</t>
    </r>
  </si>
  <si>
    <t>Общая площадь - 708,7 м2</t>
  </si>
  <si>
    <t>Количество квартир - 16</t>
  </si>
  <si>
    <t>- замена ламп электр. в подъездах</t>
  </si>
  <si>
    <t>Ремонт системы отопления в подвале</t>
  </si>
  <si>
    <t>апрель 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</si>
</sst>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\ ###\ ###\ ###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164" fontId="50" fillId="0" borderId="12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14" xfId="0" applyNumberFormat="1" applyFont="1" applyFill="1" applyBorder="1" applyAlignment="1">
      <alignment horizontal="center" vertical="center"/>
    </xf>
    <xf numFmtId="165" fontId="50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49" fillId="0" borderId="15" xfId="0" applyNumberFormat="1" applyFont="1" applyFill="1" applyBorder="1" applyAlignment="1">
      <alignment horizontal="left" vertical="center" wrapText="1"/>
    </xf>
    <xf numFmtId="164" fontId="49" fillId="0" borderId="16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49" fillId="0" borderId="18" xfId="0" applyNumberFormat="1" applyFont="1" applyFill="1" applyBorder="1" applyAlignment="1">
      <alignment horizontal="center" vertical="center"/>
    </xf>
    <xf numFmtId="165" fontId="49" fillId="0" borderId="1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0" fillId="0" borderId="19" xfId="0" applyNumberFormat="1" applyFont="1" applyFill="1" applyBorder="1" applyAlignment="1">
      <alignment horizontal="left" vertical="center"/>
    </xf>
    <xf numFmtId="164" fontId="50" fillId="0" borderId="20" xfId="0" applyNumberFormat="1" applyFont="1" applyFill="1" applyBorder="1" applyAlignment="1">
      <alignment horizontal="center" vertical="center"/>
    </xf>
    <xf numFmtId="164" fontId="50" fillId="0" borderId="21" xfId="0" applyNumberFormat="1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164" fontId="50" fillId="0" borderId="22" xfId="0" applyNumberFormat="1" applyFont="1" applyFill="1" applyBorder="1" applyAlignment="1">
      <alignment horizontal="center" vertical="center"/>
    </xf>
    <xf numFmtId="165" fontId="50" fillId="0" borderId="19" xfId="0" applyNumberFormat="1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/>
    </xf>
    <xf numFmtId="164" fontId="50" fillId="0" borderId="24" xfId="0" applyNumberFormat="1" applyFont="1" applyFill="1" applyBorder="1" applyAlignment="1">
      <alignment horizontal="center" vertical="center"/>
    </xf>
    <xf numFmtId="164" fontId="50" fillId="0" borderId="25" xfId="0" applyNumberFormat="1" applyFont="1" applyFill="1" applyBorder="1" applyAlignment="1">
      <alignment horizontal="center" vertical="center"/>
    </xf>
    <xf numFmtId="164" fontId="50" fillId="0" borderId="26" xfId="0" applyNumberFormat="1" applyFont="1" applyFill="1" applyBorder="1" applyAlignment="1">
      <alignment horizontal="center" vertical="center"/>
    </xf>
    <xf numFmtId="165" fontId="50" fillId="0" borderId="2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49" fontId="49" fillId="0" borderId="29" xfId="0" applyNumberFormat="1" applyFont="1" applyFill="1" applyBorder="1" applyAlignment="1">
      <alignment horizontal="left" vertical="center"/>
    </xf>
    <xf numFmtId="49" fontId="49" fillId="0" borderId="30" xfId="0" applyNumberFormat="1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5" fontId="49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9" fillId="0" borderId="31" xfId="0" applyNumberFormat="1" applyFont="1" applyFill="1" applyBorder="1" applyAlignment="1">
      <alignment horizontal="left" vertical="center"/>
    </xf>
    <xf numFmtId="49" fontId="49" fillId="0" borderId="32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 vertical="center"/>
    </xf>
    <xf numFmtId="49" fontId="49" fillId="0" borderId="33" xfId="0" applyNumberFormat="1" applyFont="1" applyFill="1" applyBorder="1" applyAlignment="1">
      <alignment horizontal="left" vertical="center"/>
    </xf>
    <xf numFmtId="49" fontId="49" fillId="0" borderId="34" xfId="0" applyNumberFormat="1" applyFont="1" applyFill="1" applyBorder="1" applyAlignment="1">
      <alignment horizontal="center" vertical="center"/>
    </xf>
    <xf numFmtId="4" fontId="49" fillId="0" borderId="21" xfId="0" applyNumberFormat="1" applyFont="1" applyFill="1" applyBorder="1" applyAlignment="1">
      <alignment horizontal="center" vertical="center"/>
    </xf>
    <xf numFmtId="164" fontId="49" fillId="0" borderId="21" xfId="0" applyNumberFormat="1" applyFont="1" applyFill="1" applyBorder="1" applyAlignment="1">
      <alignment horizontal="center" vertical="center"/>
    </xf>
    <xf numFmtId="165" fontId="49" fillId="0" borderId="35" xfId="0" applyNumberFormat="1" applyFont="1" applyFill="1" applyBorder="1" applyAlignment="1">
      <alignment horizontal="center" vertical="center"/>
    </xf>
    <xf numFmtId="49" fontId="50" fillId="0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166" fontId="50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5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vertical="center"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164" fontId="59" fillId="0" borderId="17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49" fontId="49" fillId="0" borderId="17" xfId="0" applyNumberFormat="1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9" fillId="0" borderId="17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7" fontId="49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9" fillId="0" borderId="1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49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/>
    </xf>
    <xf numFmtId="49" fontId="50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36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top" wrapText="1"/>
    </xf>
    <xf numFmtId="0" fontId="59" fillId="0" borderId="37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164" fontId="51" fillId="0" borderId="21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86" zoomScaleNormal="86" zoomScalePageLayoutView="0" workbookViewId="0" topLeftCell="A1">
      <selection activeCell="K13" sqref="K13"/>
    </sheetView>
  </sheetViews>
  <sheetFormatPr defaultColWidth="9.140625" defaultRowHeight="15"/>
  <cols>
    <col min="1" max="1" width="47.57421875" style="4" customWidth="1"/>
    <col min="2" max="2" width="12.0039062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4.00390625" style="3" customWidth="1"/>
    <col min="8" max="8" width="14.14062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7109375" style="4" customWidth="1"/>
    <col min="17" max="17" width="8.42187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2</v>
      </c>
    </row>
    <row r="5" ht="15">
      <c r="A5" s="4" t="s">
        <v>3</v>
      </c>
    </row>
    <row r="6" ht="15">
      <c r="A6" s="4" t="s">
        <v>4</v>
      </c>
    </row>
    <row r="7" ht="15">
      <c r="A7" s="4" t="s">
        <v>5</v>
      </c>
    </row>
    <row r="8" ht="15">
      <c r="A8" s="4" t="s">
        <v>6</v>
      </c>
    </row>
    <row r="9" ht="15.75" thickBot="1"/>
    <row r="10" spans="1:22" s="8" customFormat="1" ht="15.75" customHeight="1">
      <c r="A10" s="139" t="s">
        <v>7</v>
      </c>
      <c r="B10" s="142" t="s">
        <v>8</v>
      </c>
      <c r="C10" s="135" t="s">
        <v>9</v>
      </c>
      <c r="D10" s="135" t="s">
        <v>10</v>
      </c>
      <c r="E10" s="135" t="s">
        <v>11</v>
      </c>
      <c r="F10" s="135" t="s">
        <v>12</v>
      </c>
      <c r="G10" s="135"/>
      <c r="H10" s="135"/>
      <c r="I10" s="135"/>
      <c r="J10" s="135"/>
      <c r="K10" s="135"/>
      <c r="L10" s="135" t="s">
        <v>13</v>
      </c>
      <c r="M10" s="135" t="s">
        <v>14</v>
      </c>
      <c r="N10" s="135" t="s">
        <v>15</v>
      </c>
      <c r="O10" s="137" t="s">
        <v>16</v>
      </c>
      <c r="P10" s="139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40"/>
      <c r="B11" s="143"/>
      <c r="C11" s="136"/>
      <c r="D11" s="136"/>
      <c r="E11" s="136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6"/>
      <c r="M11" s="136"/>
      <c r="N11" s="136"/>
      <c r="O11" s="138"/>
      <c r="P11" s="140"/>
      <c r="Q11" s="7"/>
      <c r="R11" s="7"/>
      <c r="S11" s="7"/>
      <c r="T11" s="7"/>
      <c r="U11" s="7"/>
      <c r="V11" s="7"/>
    </row>
    <row r="12" spans="1:22" s="16" customFormat="1" ht="15.75" customHeight="1">
      <c r="A12" s="10" t="s">
        <v>24</v>
      </c>
      <c r="B12" s="11">
        <f>SUM(B13:B19)</f>
        <v>0</v>
      </c>
      <c r="C12" s="12">
        <f>SUM(C13:C19)</f>
        <v>-614.34</v>
      </c>
      <c r="D12" s="12">
        <f>SUM(D13:D19)</f>
        <v>11061.220000000001</v>
      </c>
      <c r="E12" s="12">
        <f>SUM(E13:E19)</f>
        <v>184628.16</v>
      </c>
      <c r="F12" s="12">
        <f>SUM(F13:F19)</f>
        <v>150581.58</v>
      </c>
      <c r="G12" s="12">
        <v>0</v>
      </c>
      <c r="H12" s="12">
        <v>0</v>
      </c>
      <c r="I12" s="12">
        <v>0</v>
      </c>
      <c r="J12" s="12">
        <v>0</v>
      </c>
      <c r="K12" s="12">
        <f>SUM(K13:K19)</f>
        <v>149967.24</v>
      </c>
      <c r="L12" s="12">
        <f>SUM(L13:L19)</f>
        <v>186982.82</v>
      </c>
      <c r="M12" s="12">
        <f>SUM(M13:M19)</f>
        <v>0</v>
      </c>
      <c r="N12" s="12">
        <f>SUM(N13:N19)</f>
        <v>-37015.579999999994</v>
      </c>
      <c r="O12" s="13">
        <f>SUM(O13:O19)</f>
        <v>45107.8</v>
      </c>
      <c r="P12" s="14">
        <f aca="true" t="shared" si="0" ref="P12:P21">F12/(D12+E12)</f>
        <v>0.7694928564851091</v>
      </c>
      <c r="Q12" s="15"/>
      <c r="R12" s="15"/>
      <c r="S12" s="15"/>
      <c r="T12" s="15"/>
      <c r="U12" s="15"/>
      <c r="V12" s="15"/>
    </row>
    <row r="13" spans="1:22" s="23" customFormat="1" ht="57.75" customHeight="1">
      <c r="A13" s="17" t="s">
        <v>25</v>
      </c>
      <c r="B13" s="18">
        <v>0</v>
      </c>
      <c r="C13" s="19">
        <v>1968.59</v>
      </c>
      <c r="D13" s="19">
        <v>826.3</v>
      </c>
      <c r="E13" s="19">
        <v>25268.98</v>
      </c>
      <c r="F13" s="19">
        <v>20608.92</v>
      </c>
      <c r="G13" s="19">
        <v>0</v>
      </c>
      <c r="H13" s="19">
        <v>0</v>
      </c>
      <c r="I13" s="19">
        <v>0</v>
      </c>
      <c r="J13" s="19">
        <v>0</v>
      </c>
      <c r="K13" s="19">
        <f>F13+G13+H13+I13+J13+C13</f>
        <v>22577.51</v>
      </c>
      <c r="L13" s="19">
        <f>D34</f>
        <v>25208</v>
      </c>
      <c r="M13" s="19">
        <v>0</v>
      </c>
      <c r="N13" s="19">
        <f>K13-L13</f>
        <v>-2630.4900000000016</v>
      </c>
      <c r="O13" s="20">
        <f>D13+E13-F13</f>
        <v>5486.360000000001</v>
      </c>
      <c r="P13" s="21">
        <f t="shared" si="0"/>
        <v>0.7897566149893773</v>
      </c>
      <c r="Q13" s="22"/>
      <c r="R13" s="22"/>
      <c r="S13" s="22"/>
      <c r="T13" s="22"/>
      <c r="U13" s="22"/>
      <c r="V13" s="22"/>
    </row>
    <row r="14" spans="1:22" s="23" customFormat="1" ht="29.25" customHeight="1">
      <c r="A14" s="17" t="s">
        <v>26</v>
      </c>
      <c r="B14" s="18">
        <v>0</v>
      </c>
      <c r="C14" s="19">
        <v>564.76</v>
      </c>
      <c r="D14" s="19">
        <v>237.05</v>
      </c>
      <c r="E14" s="19">
        <v>7261.2</v>
      </c>
      <c r="F14" s="19">
        <v>5922.42</v>
      </c>
      <c r="G14" s="19">
        <v>0</v>
      </c>
      <c r="H14" s="19">
        <v>0</v>
      </c>
      <c r="I14" s="19">
        <v>0</v>
      </c>
      <c r="J14" s="19">
        <v>0</v>
      </c>
      <c r="K14" s="19">
        <f aca="true" t="shared" si="1" ref="K14:K20">F14+G14+H14+I14+J14+C14</f>
        <v>6487.18</v>
      </c>
      <c r="L14" s="19">
        <f>D40</f>
        <v>9300</v>
      </c>
      <c r="M14" s="19">
        <v>0</v>
      </c>
      <c r="N14" s="19">
        <f aca="true" t="shared" si="2" ref="N14:N20">K14-L14</f>
        <v>-2812.8199999999997</v>
      </c>
      <c r="O14" s="20">
        <f aca="true" t="shared" si="3" ref="O14:O19">D14+E14-F14</f>
        <v>1575.83</v>
      </c>
      <c r="P14" s="21">
        <f t="shared" si="0"/>
        <v>0.7898402960690828</v>
      </c>
      <c r="Q14" s="22"/>
      <c r="R14" s="22"/>
      <c r="S14" s="22"/>
      <c r="T14" s="22"/>
      <c r="U14" s="22"/>
      <c r="V14" s="22"/>
    </row>
    <row r="15" spans="1:22" s="23" customFormat="1" ht="58.5" customHeight="1">
      <c r="A15" s="17" t="s">
        <v>27</v>
      </c>
      <c r="B15" s="18">
        <v>0</v>
      </c>
      <c r="C15" s="19">
        <v>-320.51</v>
      </c>
      <c r="D15" s="19">
        <v>636.66</v>
      </c>
      <c r="E15" s="19">
        <v>19460.02</v>
      </c>
      <c r="F15" s="19">
        <v>15870.98</v>
      </c>
      <c r="G15" s="19">
        <v>0</v>
      </c>
      <c r="H15" s="19">
        <v>0</v>
      </c>
      <c r="I15" s="19">
        <v>0</v>
      </c>
      <c r="J15" s="19">
        <v>0</v>
      </c>
      <c r="K15" s="19">
        <f t="shared" si="1"/>
        <v>15550.47</v>
      </c>
      <c r="L15" s="19">
        <f>D44</f>
        <v>19831.71</v>
      </c>
      <c r="M15" s="19">
        <v>0</v>
      </c>
      <c r="N15" s="19">
        <f t="shared" si="2"/>
        <v>-4281.24</v>
      </c>
      <c r="O15" s="20">
        <f t="shared" si="3"/>
        <v>4225.700000000001</v>
      </c>
      <c r="P15" s="21">
        <f t="shared" si="0"/>
        <v>0.7897314382276077</v>
      </c>
      <c r="Q15" s="22"/>
      <c r="R15" s="22"/>
      <c r="S15" s="22"/>
      <c r="T15" s="22"/>
      <c r="U15" s="22"/>
      <c r="V15" s="22"/>
    </row>
    <row r="16" spans="1:22" s="23" customFormat="1" ht="18" customHeight="1">
      <c r="A16" s="17" t="s">
        <v>28</v>
      </c>
      <c r="B16" s="18">
        <v>0</v>
      </c>
      <c r="C16" s="19">
        <v>1928.25</v>
      </c>
      <c r="D16" s="19">
        <v>809.37</v>
      </c>
      <c r="E16" s="19">
        <v>24784.94</v>
      </c>
      <c r="F16" s="19">
        <v>20215.06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22143.31</v>
      </c>
      <c r="L16" s="19">
        <f>D48</f>
        <v>24784.94</v>
      </c>
      <c r="M16" s="19">
        <v>0</v>
      </c>
      <c r="N16" s="19">
        <f t="shared" si="2"/>
        <v>-2641.6299999999974</v>
      </c>
      <c r="O16" s="20">
        <f t="shared" si="3"/>
        <v>5379.249999999996</v>
      </c>
      <c r="P16" s="21">
        <f t="shared" si="0"/>
        <v>0.7898263324934333</v>
      </c>
      <c r="Q16" s="22"/>
      <c r="R16" s="22"/>
      <c r="S16" s="22"/>
      <c r="T16" s="22"/>
      <c r="U16" s="22"/>
      <c r="V16" s="22"/>
    </row>
    <row r="17" spans="1:22" s="23" customFormat="1" ht="28.5" customHeight="1">
      <c r="A17" s="17" t="s">
        <v>29</v>
      </c>
      <c r="B17" s="18">
        <v>0</v>
      </c>
      <c r="C17" s="19">
        <v>-816.05</v>
      </c>
      <c r="D17" s="19">
        <v>5751.22</v>
      </c>
      <c r="E17" s="19">
        <v>22170.86</v>
      </c>
      <c r="F17" s="19">
        <v>18082.39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17266.34</v>
      </c>
      <c r="L17" s="19">
        <f>D49</f>
        <v>22170.86</v>
      </c>
      <c r="M17" s="19">
        <v>0</v>
      </c>
      <c r="N17" s="19">
        <f t="shared" si="2"/>
        <v>-4904.52</v>
      </c>
      <c r="O17" s="20">
        <f t="shared" si="3"/>
        <v>9839.690000000002</v>
      </c>
      <c r="P17" s="21">
        <f t="shared" si="0"/>
        <v>0.6476018262249803</v>
      </c>
      <c r="Q17" s="22"/>
      <c r="R17" s="22"/>
      <c r="S17" s="22"/>
      <c r="T17" s="22"/>
      <c r="U17" s="22"/>
      <c r="V17" s="22"/>
    </row>
    <row r="18" spans="1:22" s="23" customFormat="1" ht="16.5" customHeight="1">
      <c r="A18" s="17" t="s">
        <v>30</v>
      </c>
      <c r="B18" s="18">
        <v>0</v>
      </c>
      <c r="C18" s="19">
        <v>-3161.96</v>
      </c>
      <c r="D18" s="19">
        <v>1327.5</v>
      </c>
      <c r="E18" s="19">
        <v>40614.31</v>
      </c>
      <c r="F18" s="19">
        <v>33124.79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29962.83</v>
      </c>
      <c r="L18" s="19">
        <f>D50</f>
        <v>40614.31</v>
      </c>
      <c r="M18" s="19">
        <v>0</v>
      </c>
      <c r="N18" s="19">
        <f t="shared" si="2"/>
        <v>-10651.479999999996</v>
      </c>
      <c r="O18" s="20">
        <f t="shared" si="3"/>
        <v>8817.019999999997</v>
      </c>
      <c r="P18" s="21">
        <f t="shared" si="0"/>
        <v>0.7897796971566082</v>
      </c>
      <c r="Q18" s="22"/>
      <c r="R18" s="22"/>
      <c r="S18" s="22"/>
      <c r="T18" s="22"/>
      <c r="U18" s="22"/>
      <c r="V18" s="22"/>
    </row>
    <row r="19" spans="1:22" s="23" customFormat="1" ht="16.5" customHeight="1">
      <c r="A19" s="17" t="s">
        <v>31</v>
      </c>
      <c r="B19" s="18">
        <v>0</v>
      </c>
      <c r="C19" s="19">
        <v>-777.42</v>
      </c>
      <c r="D19" s="19">
        <v>1473.12</v>
      </c>
      <c r="E19" s="19">
        <v>45067.85</v>
      </c>
      <c r="F19" s="19">
        <v>36757.02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35979.6</v>
      </c>
      <c r="L19" s="19">
        <f>D51</f>
        <v>45073</v>
      </c>
      <c r="M19" s="19">
        <v>0</v>
      </c>
      <c r="N19" s="19">
        <f t="shared" si="2"/>
        <v>-9093.400000000001</v>
      </c>
      <c r="O19" s="20">
        <f t="shared" si="3"/>
        <v>9783.950000000004</v>
      </c>
      <c r="P19" s="21">
        <f t="shared" si="0"/>
        <v>0.7897776947923517</v>
      </c>
      <c r="Q19" s="22"/>
      <c r="R19" s="22"/>
      <c r="S19" s="22"/>
      <c r="T19" s="22"/>
      <c r="U19" s="22"/>
      <c r="V19" s="22"/>
    </row>
    <row r="20" spans="1:22" s="16" customFormat="1" ht="18.75" customHeight="1" thickBot="1">
      <c r="A20" s="24" t="s">
        <v>32</v>
      </c>
      <c r="B20" s="25">
        <v>0</v>
      </c>
      <c r="C20" s="26">
        <v>584.48</v>
      </c>
      <c r="D20" s="26">
        <v>274.07</v>
      </c>
      <c r="E20" s="26">
        <v>22120.32</v>
      </c>
      <c r="F20" s="26">
        <v>19135.83</v>
      </c>
      <c r="G20" s="26">
        <v>0</v>
      </c>
      <c r="H20" s="26">
        <v>0</v>
      </c>
      <c r="I20" s="26">
        <v>0</v>
      </c>
      <c r="J20" s="26">
        <v>0</v>
      </c>
      <c r="K20" s="27">
        <f t="shared" si="1"/>
        <v>19720.31</v>
      </c>
      <c r="L20" s="27">
        <f>E20+C20</f>
        <v>22704.8</v>
      </c>
      <c r="M20" s="26">
        <v>0</v>
      </c>
      <c r="N20" s="27">
        <f t="shared" si="2"/>
        <v>-2984.489999999998</v>
      </c>
      <c r="O20" s="28">
        <f>D20+E20-F20</f>
        <v>3258.5599999999977</v>
      </c>
      <c r="P20" s="29">
        <f t="shared" si="0"/>
        <v>0.8544921295020763</v>
      </c>
      <c r="Q20" s="15"/>
      <c r="R20" s="15"/>
      <c r="S20" s="15"/>
      <c r="T20" s="15"/>
      <c r="U20" s="15"/>
      <c r="V20" s="15"/>
    </row>
    <row r="21" spans="1:22" s="16" customFormat="1" ht="17.25" customHeight="1" thickBot="1">
      <c r="A21" s="30" t="s">
        <v>33</v>
      </c>
      <c r="B21" s="31">
        <f aca="true" t="shared" si="4" ref="B21:O21">SUM(B13:B20)</f>
        <v>0</v>
      </c>
      <c r="C21" s="32">
        <f t="shared" si="4"/>
        <v>-29.860000000000014</v>
      </c>
      <c r="D21" s="32">
        <f t="shared" si="4"/>
        <v>11335.29</v>
      </c>
      <c r="E21" s="32">
        <f t="shared" si="4"/>
        <v>206748.48</v>
      </c>
      <c r="F21" s="32">
        <f t="shared" si="4"/>
        <v>169717.40999999997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169687.55</v>
      </c>
      <c r="L21" s="32">
        <f t="shared" si="4"/>
        <v>209687.62</v>
      </c>
      <c r="M21" s="32">
        <f t="shared" si="4"/>
        <v>0</v>
      </c>
      <c r="N21" s="32">
        <f t="shared" si="4"/>
        <v>-40000.06999999999</v>
      </c>
      <c r="O21" s="33">
        <f t="shared" si="4"/>
        <v>48366.36</v>
      </c>
      <c r="P21" s="34">
        <f t="shared" si="0"/>
        <v>0.7782211853729416</v>
      </c>
      <c r="Q21" s="15"/>
      <c r="R21" s="15"/>
      <c r="S21" s="15"/>
      <c r="T21" s="15"/>
      <c r="U21" s="15"/>
      <c r="V21" s="15"/>
    </row>
    <row r="22" spans="1:17" ht="15.75" thickBot="1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6"/>
      <c r="N22" s="36"/>
      <c r="O22" s="36"/>
      <c r="P22" s="35"/>
      <c r="Q22" s="35"/>
    </row>
    <row r="23" spans="1:22" s="8" customFormat="1" ht="86.25" customHeight="1" thickBot="1">
      <c r="A23" s="38" t="s">
        <v>34</v>
      </c>
      <c r="B23" s="39" t="s">
        <v>35</v>
      </c>
      <c r="C23" s="40" t="s">
        <v>36</v>
      </c>
      <c r="D23" s="40" t="s">
        <v>8</v>
      </c>
      <c r="E23" s="40" t="s">
        <v>9</v>
      </c>
      <c r="F23" s="40" t="s">
        <v>10</v>
      </c>
      <c r="G23" s="40" t="s">
        <v>37</v>
      </c>
      <c r="H23" s="40" t="s">
        <v>38</v>
      </c>
      <c r="I23" s="40" t="s">
        <v>39</v>
      </c>
      <c r="J23" s="40" t="s">
        <v>40</v>
      </c>
      <c r="K23" s="40" t="s">
        <v>41</v>
      </c>
      <c r="L23" s="40" t="s">
        <v>42</v>
      </c>
      <c r="M23" s="40" t="s">
        <v>43</v>
      </c>
      <c r="N23" s="40" t="s">
        <v>14</v>
      </c>
      <c r="O23" s="40" t="s">
        <v>15</v>
      </c>
      <c r="P23" s="41" t="s">
        <v>16</v>
      </c>
      <c r="Q23" s="42" t="s">
        <v>17</v>
      </c>
      <c r="R23" s="7"/>
      <c r="S23" s="7"/>
      <c r="T23" s="7"/>
      <c r="U23" s="7"/>
      <c r="V23" s="7"/>
    </row>
    <row r="24" spans="1:22" s="50" customFormat="1" ht="17.25" customHeight="1">
      <c r="A24" s="43" t="s">
        <v>44</v>
      </c>
      <c r="B24" s="44" t="s">
        <v>45</v>
      </c>
      <c r="C24" s="45">
        <v>1465.847</v>
      </c>
      <c r="D24" s="46">
        <v>0</v>
      </c>
      <c r="E24" s="46">
        <v>-1438.74</v>
      </c>
      <c r="F24" s="46">
        <v>4016.51</v>
      </c>
      <c r="G24" s="46">
        <v>27156.51</v>
      </c>
      <c r="H24" s="46">
        <v>25099.09</v>
      </c>
      <c r="I24" s="141" t="s">
        <v>46</v>
      </c>
      <c r="J24" s="46">
        <v>27156.51</v>
      </c>
      <c r="K24" s="46">
        <v>24044.76</v>
      </c>
      <c r="L24" s="46">
        <f>J24-K24</f>
        <v>3111.75</v>
      </c>
      <c r="M24" s="46">
        <v>0</v>
      </c>
      <c r="N24" s="46">
        <v>0</v>
      </c>
      <c r="O24" s="46">
        <f>E24+H24-J24</f>
        <v>-3496.16</v>
      </c>
      <c r="P24" s="47">
        <f>F24+G24-H24</f>
        <v>6073.929999999997</v>
      </c>
      <c r="Q24" s="48">
        <f aca="true" t="shared" si="5" ref="Q24:Q29">H24/(F24+G24)</f>
        <v>0.8051542648097618</v>
      </c>
      <c r="R24" s="49"/>
      <c r="S24" s="49"/>
      <c r="T24" s="49"/>
      <c r="U24" s="49"/>
      <c r="V24" s="49"/>
    </row>
    <row r="25" spans="1:22" s="50" customFormat="1" ht="17.25" customHeight="1">
      <c r="A25" s="51" t="s">
        <v>47</v>
      </c>
      <c r="B25" s="52" t="s">
        <v>48</v>
      </c>
      <c r="C25" s="53">
        <v>65.71</v>
      </c>
      <c r="D25" s="19">
        <v>0</v>
      </c>
      <c r="E25" s="19">
        <v>-3440.41</v>
      </c>
      <c r="F25" s="19">
        <v>9593.31</v>
      </c>
      <c r="G25" s="19">
        <v>68779.97</v>
      </c>
      <c r="H25" s="19">
        <v>63140.01</v>
      </c>
      <c r="I25" s="126"/>
      <c r="J25" s="19">
        <v>68779.97</v>
      </c>
      <c r="K25" s="19">
        <v>60487.71</v>
      </c>
      <c r="L25" s="46">
        <f>J25-K25</f>
        <v>8292.260000000002</v>
      </c>
      <c r="M25" s="19">
        <v>0</v>
      </c>
      <c r="N25" s="19">
        <v>0</v>
      </c>
      <c r="O25" s="46">
        <f>E25+H25-J25</f>
        <v>-9080.369999999995</v>
      </c>
      <c r="P25" s="47">
        <f>F25+G25-H25</f>
        <v>15233.269999999997</v>
      </c>
      <c r="Q25" s="48">
        <f t="shared" si="5"/>
        <v>0.8056318428933943</v>
      </c>
      <c r="R25" s="49"/>
      <c r="S25" s="49"/>
      <c r="T25" s="49"/>
      <c r="U25" s="49"/>
      <c r="V25" s="49"/>
    </row>
    <row r="26" spans="1:22" s="50" customFormat="1" ht="17.25" customHeight="1">
      <c r="A26" s="51" t="s">
        <v>49</v>
      </c>
      <c r="B26" s="52" t="s">
        <v>48</v>
      </c>
      <c r="C26" s="53">
        <v>181.127</v>
      </c>
      <c r="D26" s="19">
        <v>0</v>
      </c>
      <c r="E26" s="19">
        <v>-36908.9</v>
      </c>
      <c r="F26" s="19">
        <v>40615.23</v>
      </c>
      <c r="G26" s="19">
        <v>189473.71</v>
      </c>
      <c r="H26" s="19">
        <v>174116.44</v>
      </c>
      <c r="I26" s="126"/>
      <c r="J26" s="19">
        <v>189473.71</v>
      </c>
      <c r="K26" s="19">
        <v>166802.38</v>
      </c>
      <c r="L26" s="46">
        <f>J26-K26</f>
        <v>22671.329999999987</v>
      </c>
      <c r="M26" s="19">
        <v>0</v>
      </c>
      <c r="N26" s="19">
        <v>0</v>
      </c>
      <c r="O26" s="46">
        <f>E26+H26-J26</f>
        <v>-52266.169999999984</v>
      </c>
      <c r="P26" s="47">
        <f>F26+G26-H26</f>
        <v>55972.5</v>
      </c>
      <c r="Q26" s="48">
        <f t="shared" si="5"/>
        <v>0.7567353737211359</v>
      </c>
      <c r="R26" s="49"/>
      <c r="S26" s="49"/>
      <c r="T26" s="49"/>
      <c r="U26" s="49"/>
      <c r="V26" s="49"/>
    </row>
    <row r="27" spans="1:22" s="50" customFormat="1" ht="17.25" customHeight="1">
      <c r="A27" s="51" t="s">
        <v>50</v>
      </c>
      <c r="B27" s="52" t="s">
        <v>45</v>
      </c>
      <c r="C27" s="53">
        <f>1676.349+93.116</f>
        <v>1769.465</v>
      </c>
      <c r="D27" s="19">
        <v>0</v>
      </c>
      <c r="E27" s="19">
        <v>0</v>
      </c>
      <c r="F27" s="19">
        <v>2229.45</v>
      </c>
      <c r="G27" s="19">
        <v>32791.28</v>
      </c>
      <c r="H27" s="19">
        <v>27823.33</v>
      </c>
      <c r="I27" s="126" t="s">
        <v>51</v>
      </c>
      <c r="J27" s="19">
        <v>32791.28</v>
      </c>
      <c r="K27" s="19">
        <v>27211.3</v>
      </c>
      <c r="L27" s="46">
        <f>J27-K27</f>
        <v>5579.98</v>
      </c>
      <c r="M27" s="19">
        <v>0</v>
      </c>
      <c r="N27" s="19">
        <v>0</v>
      </c>
      <c r="O27" s="46">
        <f>E27+H27-J27</f>
        <v>-4967.949999999997</v>
      </c>
      <c r="P27" s="47">
        <f>F27+G27-H27</f>
        <v>7197.399999999994</v>
      </c>
      <c r="Q27" s="48">
        <f t="shared" si="5"/>
        <v>0.7944817255379887</v>
      </c>
      <c r="R27" s="49"/>
      <c r="S27" s="49"/>
      <c r="T27" s="49"/>
      <c r="U27" s="49"/>
      <c r="V27" s="49"/>
    </row>
    <row r="28" spans="1:22" s="50" customFormat="1" ht="17.25" customHeight="1" thickBot="1">
      <c r="A28" s="54" t="s">
        <v>52</v>
      </c>
      <c r="B28" s="55" t="s">
        <v>45</v>
      </c>
      <c r="C28" s="56">
        <f>2685.472+159.369</f>
        <v>2844.8410000000003</v>
      </c>
      <c r="D28" s="57">
        <v>0</v>
      </c>
      <c r="E28" s="57">
        <v>0</v>
      </c>
      <c r="F28" s="57">
        <v>3445.8</v>
      </c>
      <c r="G28" s="57">
        <v>71212.68</v>
      </c>
      <c r="H28" s="57">
        <v>57931.98</v>
      </c>
      <c r="I28" s="127"/>
      <c r="J28" s="57">
        <v>71212.68</v>
      </c>
      <c r="K28" s="57">
        <v>56664.39</v>
      </c>
      <c r="L28" s="46">
        <f>J28-K28</f>
        <v>14548.289999999994</v>
      </c>
      <c r="M28" s="57">
        <v>0</v>
      </c>
      <c r="N28" s="57">
        <v>0</v>
      </c>
      <c r="O28" s="46">
        <f>E28+H28-J28</f>
        <v>-13280.69999999999</v>
      </c>
      <c r="P28" s="47">
        <f>F28+G28-H28</f>
        <v>16726.499999999993</v>
      </c>
      <c r="Q28" s="58">
        <f t="shared" si="5"/>
        <v>0.7759598105935187</v>
      </c>
      <c r="R28" s="49"/>
      <c r="S28" s="49"/>
      <c r="T28" s="49"/>
      <c r="U28" s="49"/>
      <c r="V28" s="49"/>
    </row>
    <row r="29" spans="1:22" s="63" customFormat="1" ht="17.25" customHeight="1" thickBot="1">
      <c r="A29" s="59" t="s">
        <v>53</v>
      </c>
      <c r="B29" s="60"/>
      <c r="C29" s="61"/>
      <c r="D29" s="32">
        <f>SUM(D24:D28)</f>
        <v>0</v>
      </c>
      <c r="E29" s="32">
        <f aca="true" t="shared" si="6" ref="E29:P29">SUM(E24:E28)</f>
        <v>-41788.05</v>
      </c>
      <c r="F29" s="32">
        <f t="shared" si="6"/>
        <v>59900.3</v>
      </c>
      <c r="G29" s="32">
        <f t="shared" si="6"/>
        <v>389414.14999999997</v>
      </c>
      <c r="H29" s="32">
        <f t="shared" si="6"/>
        <v>348110.85000000003</v>
      </c>
      <c r="I29" s="32"/>
      <c r="J29" s="32">
        <f t="shared" si="6"/>
        <v>389414.14999999997</v>
      </c>
      <c r="K29" s="32">
        <f t="shared" si="6"/>
        <v>335210.54000000004</v>
      </c>
      <c r="L29" s="32">
        <f t="shared" si="6"/>
        <v>54203.609999999986</v>
      </c>
      <c r="M29" s="32">
        <f t="shared" si="6"/>
        <v>0</v>
      </c>
      <c r="N29" s="32">
        <f t="shared" si="6"/>
        <v>0</v>
      </c>
      <c r="O29" s="32">
        <f t="shared" si="6"/>
        <v>-83091.34999999998</v>
      </c>
      <c r="P29" s="33">
        <f t="shared" si="6"/>
        <v>101203.59999999998</v>
      </c>
      <c r="Q29" s="34">
        <f t="shared" si="5"/>
        <v>0.7747599704394107</v>
      </c>
      <c r="R29" s="62"/>
      <c r="S29" s="62"/>
      <c r="T29" s="62"/>
      <c r="U29" s="62"/>
      <c r="V29" s="62"/>
    </row>
    <row r="30" spans="1:17" ht="15">
      <c r="A30" s="35"/>
      <c r="B30" s="36"/>
      <c r="C30" s="36"/>
      <c r="D30" s="36"/>
      <c r="E30" s="36"/>
      <c r="F30" s="64"/>
      <c r="G30" s="64"/>
      <c r="H30" s="64"/>
      <c r="I30" s="37"/>
      <c r="J30" s="37"/>
      <c r="K30" s="37"/>
      <c r="L30" s="37"/>
      <c r="M30" s="36"/>
      <c r="N30" s="36"/>
      <c r="O30" s="36"/>
      <c r="P30" s="35"/>
      <c r="Q30" s="35"/>
    </row>
    <row r="31" spans="1:22" s="67" customFormat="1" ht="15">
      <c r="A31" s="65" t="s">
        <v>54</v>
      </c>
      <c r="B31" s="2"/>
      <c r="C31" s="2"/>
      <c r="D31" s="2"/>
      <c r="E31" s="2"/>
      <c r="F31" s="3"/>
      <c r="G31" s="37"/>
      <c r="H31" s="37"/>
      <c r="I31" s="37"/>
      <c r="J31" s="37"/>
      <c r="K31" s="37"/>
      <c r="L31" s="37"/>
      <c r="M31" s="2"/>
      <c r="N31" s="2"/>
      <c r="O31" s="2"/>
      <c r="P31" s="35"/>
      <c r="Q31" s="35"/>
      <c r="R31" s="35"/>
      <c r="S31" s="35"/>
      <c r="T31" s="66"/>
      <c r="U31" s="66"/>
      <c r="V31" s="66"/>
    </row>
    <row r="32" spans="1:22" s="67" customFormat="1" ht="49.5" customHeight="1">
      <c r="A32" s="68" t="s">
        <v>55</v>
      </c>
      <c r="B32" s="68" t="s">
        <v>35</v>
      </c>
      <c r="C32" s="68" t="s">
        <v>56</v>
      </c>
      <c r="D32" s="68" t="s">
        <v>57</v>
      </c>
      <c r="E32" s="128" t="s">
        <v>58</v>
      </c>
      <c r="F32" s="128"/>
      <c r="G32" s="128" t="s">
        <v>59</v>
      </c>
      <c r="H32" s="128"/>
      <c r="I32" s="129" t="s">
        <v>60</v>
      </c>
      <c r="J32" s="129"/>
      <c r="K32" s="129"/>
      <c r="L32" s="129"/>
      <c r="M32" s="129"/>
      <c r="N32" s="129"/>
      <c r="O32" s="69"/>
      <c r="P32" s="69"/>
      <c r="Q32" s="69"/>
      <c r="R32" s="69"/>
      <c r="S32" s="35"/>
      <c r="T32" s="66"/>
      <c r="U32" s="66"/>
      <c r="V32" s="66"/>
    </row>
    <row r="33" spans="1:22" s="67" customFormat="1" ht="15.75">
      <c r="A33" s="130" t="s">
        <v>61</v>
      </c>
      <c r="B33" s="131"/>
      <c r="C33" s="132"/>
      <c r="D33" s="27">
        <f>D34+D40+D44+D48+D49+D50+D51</f>
        <v>186982.82</v>
      </c>
      <c r="E33" s="133"/>
      <c r="F33" s="133"/>
      <c r="G33" s="101"/>
      <c r="H33" s="101"/>
      <c r="I33" s="134"/>
      <c r="J33" s="134"/>
      <c r="K33" s="134"/>
      <c r="L33" s="134"/>
      <c r="M33" s="134"/>
      <c r="N33" s="134"/>
      <c r="O33" s="70"/>
      <c r="P33" s="70"/>
      <c r="Q33" s="70"/>
      <c r="R33" s="70"/>
      <c r="S33" s="35"/>
      <c r="T33" s="66"/>
      <c r="U33" s="66"/>
      <c r="V33" s="66"/>
    </row>
    <row r="34" spans="1:22" s="67" customFormat="1" ht="41.25" customHeight="1">
      <c r="A34" s="117" t="s">
        <v>62</v>
      </c>
      <c r="B34" s="118"/>
      <c r="C34" s="119"/>
      <c r="D34" s="71">
        <f>SUM(D35:D39)</f>
        <v>25208</v>
      </c>
      <c r="E34" s="95"/>
      <c r="F34" s="95"/>
      <c r="G34" s="120" t="s">
        <v>63</v>
      </c>
      <c r="H34" s="121"/>
      <c r="I34" s="108" t="s">
        <v>64</v>
      </c>
      <c r="J34" s="109"/>
      <c r="K34" s="109"/>
      <c r="L34" s="109"/>
      <c r="M34" s="109"/>
      <c r="N34" s="110"/>
      <c r="O34" s="72"/>
      <c r="P34" s="72"/>
      <c r="Q34" s="72"/>
      <c r="R34" s="72"/>
      <c r="S34" s="35"/>
      <c r="T34" s="66"/>
      <c r="U34" s="66"/>
      <c r="V34" s="66"/>
    </row>
    <row r="35" spans="1:22" s="67" customFormat="1" ht="29.25" customHeight="1">
      <c r="A35" s="73" t="s">
        <v>65</v>
      </c>
      <c r="B35" s="74" t="s">
        <v>66</v>
      </c>
      <c r="C35" s="19">
        <f>32*137</f>
        <v>4384</v>
      </c>
      <c r="D35" s="19">
        <f>C35</f>
        <v>4384</v>
      </c>
      <c r="E35" s="95" t="s">
        <v>67</v>
      </c>
      <c r="F35" s="95"/>
      <c r="G35" s="122"/>
      <c r="H35" s="123"/>
      <c r="I35" s="111"/>
      <c r="J35" s="112"/>
      <c r="K35" s="112"/>
      <c r="L35" s="112"/>
      <c r="M35" s="112"/>
      <c r="N35" s="113"/>
      <c r="O35" s="72"/>
      <c r="P35" s="72"/>
      <c r="Q35" s="72"/>
      <c r="R35" s="72"/>
      <c r="S35" s="35"/>
      <c r="T35" s="66"/>
      <c r="U35" s="66"/>
      <c r="V35" s="66"/>
    </row>
    <row r="36" spans="1:22" s="67" customFormat="1" ht="30.75" customHeight="1">
      <c r="A36" s="73" t="s">
        <v>68</v>
      </c>
      <c r="B36" s="74" t="s">
        <v>66</v>
      </c>
      <c r="C36" s="19">
        <f>89*137</f>
        <v>12193</v>
      </c>
      <c r="D36" s="19">
        <f>C36</f>
        <v>12193</v>
      </c>
      <c r="E36" s="95" t="s">
        <v>69</v>
      </c>
      <c r="F36" s="95"/>
      <c r="G36" s="122"/>
      <c r="H36" s="123"/>
      <c r="I36" s="111"/>
      <c r="J36" s="112"/>
      <c r="K36" s="112"/>
      <c r="L36" s="112"/>
      <c r="M36" s="112"/>
      <c r="N36" s="113"/>
      <c r="O36" s="72"/>
      <c r="P36" s="72"/>
      <c r="Q36" s="72"/>
      <c r="R36" s="72"/>
      <c r="S36" s="35"/>
      <c r="T36" s="66"/>
      <c r="U36" s="66"/>
      <c r="V36" s="66"/>
    </row>
    <row r="37" spans="1:22" s="67" customFormat="1" ht="15.75" customHeight="1">
      <c r="A37" s="73" t="s">
        <v>70</v>
      </c>
      <c r="B37" s="74" t="s">
        <v>66</v>
      </c>
      <c r="C37" s="19">
        <f>23*137</f>
        <v>3151</v>
      </c>
      <c r="D37" s="19">
        <f>C37</f>
        <v>3151</v>
      </c>
      <c r="E37" s="95" t="s">
        <v>71</v>
      </c>
      <c r="F37" s="95"/>
      <c r="G37" s="122"/>
      <c r="H37" s="123"/>
      <c r="I37" s="111"/>
      <c r="J37" s="112"/>
      <c r="K37" s="112"/>
      <c r="L37" s="112"/>
      <c r="M37" s="112"/>
      <c r="N37" s="113"/>
      <c r="O37" s="72"/>
      <c r="P37" s="72"/>
      <c r="Q37" s="72"/>
      <c r="R37" s="72"/>
      <c r="S37" s="35"/>
      <c r="T37" s="66"/>
      <c r="U37" s="66"/>
      <c r="V37" s="66"/>
    </row>
    <row r="38" spans="1:22" s="67" customFormat="1" ht="27" customHeight="1">
      <c r="A38" s="73" t="s">
        <v>72</v>
      </c>
      <c r="B38" s="74" t="s">
        <v>66</v>
      </c>
      <c r="C38" s="19">
        <f>24*137</f>
        <v>3288</v>
      </c>
      <c r="D38" s="19">
        <f>C38</f>
        <v>3288</v>
      </c>
      <c r="E38" s="95" t="s">
        <v>69</v>
      </c>
      <c r="F38" s="95"/>
      <c r="G38" s="122"/>
      <c r="H38" s="123"/>
      <c r="I38" s="111"/>
      <c r="J38" s="112"/>
      <c r="K38" s="112"/>
      <c r="L38" s="112"/>
      <c r="M38" s="112"/>
      <c r="N38" s="113"/>
      <c r="O38" s="72"/>
      <c r="P38" s="72"/>
      <c r="Q38" s="72"/>
      <c r="R38" s="72"/>
      <c r="S38" s="35"/>
      <c r="T38" s="66"/>
      <c r="U38" s="66"/>
      <c r="V38" s="66"/>
    </row>
    <row r="39" spans="1:22" s="67" customFormat="1" ht="29.25" customHeight="1">
      <c r="A39" s="73" t="s">
        <v>73</v>
      </c>
      <c r="B39" s="74" t="s">
        <v>66</v>
      </c>
      <c r="C39" s="19">
        <f>16*137</f>
        <v>2192</v>
      </c>
      <c r="D39" s="19">
        <f>C39</f>
        <v>2192</v>
      </c>
      <c r="E39" s="95" t="s">
        <v>74</v>
      </c>
      <c r="F39" s="95"/>
      <c r="G39" s="124"/>
      <c r="H39" s="125"/>
      <c r="I39" s="114"/>
      <c r="J39" s="115"/>
      <c r="K39" s="115"/>
      <c r="L39" s="115"/>
      <c r="M39" s="115"/>
      <c r="N39" s="116"/>
      <c r="O39" s="72"/>
      <c r="P39" s="72"/>
      <c r="Q39" s="72"/>
      <c r="R39" s="72"/>
      <c r="S39" s="35"/>
      <c r="T39" s="66"/>
      <c r="U39" s="66"/>
      <c r="V39" s="66"/>
    </row>
    <row r="40" spans="1:22" s="67" customFormat="1" ht="28.5" customHeight="1">
      <c r="A40" s="103" t="s">
        <v>75</v>
      </c>
      <c r="B40" s="104"/>
      <c r="C40" s="105"/>
      <c r="D40" s="71">
        <f>SUM(D41:D43)</f>
        <v>9300</v>
      </c>
      <c r="E40" s="95"/>
      <c r="F40" s="95"/>
      <c r="G40" s="96" t="s">
        <v>63</v>
      </c>
      <c r="H40" s="96"/>
      <c r="I40" s="108" t="s">
        <v>76</v>
      </c>
      <c r="J40" s="109"/>
      <c r="K40" s="109"/>
      <c r="L40" s="109"/>
      <c r="M40" s="109"/>
      <c r="N40" s="110"/>
      <c r="O40" s="75"/>
      <c r="P40" s="75"/>
      <c r="Q40" s="75"/>
      <c r="R40" s="75"/>
      <c r="S40" s="35"/>
      <c r="T40" s="66"/>
      <c r="U40" s="66"/>
      <c r="V40" s="66"/>
    </row>
    <row r="41" spans="1:22" s="67" customFormat="1" ht="22.5" customHeight="1">
      <c r="A41" s="73" t="s">
        <v>77</v>
      </c>
      <c r="B41" s="74" t="s">
        <v>66</v>
      </c>
      <c r="C41" s="19">
        <v>3135</v>
      </c>
      <c r="D41" s="19">
        <f>C41</f>
        <v>3135</v>
      </c>
      <c r="E41" s="95" t="s">
        <v>78</v>
      </c>
      <c r="F41" s="95"/>
      <c r="G41" s="96"/>
      <c r="H41" s="96"/>
      <c r="I41" s="111"/>
      <c r="J41" s="112"/>
      <c r="K41" s="112"/>
      <c r="L41" s="112"/>
      <c r="M41" s="112"/>
      <c r="N41" s="113"/>
      <c r="O41" s="76"/>
      <c r="P41" s="76"/>
      <c r="Q41" s="76"/>
      <c r="R41" s="76"/>
      <c r="S41" s="35"/>
      <c r="T41" s="66"/>
      <c r="U41" s="66"/>
      <c r="V41" s="66"/>
    </row>
    <row r="42" spans="1:22" s="67" customFormat="1" ht="30.75" customHeight="1">
      <c r="A42" s="73" t="s">
        <v>79</v>
      </c>
      <c r="B42" s="74" t="s">
        <v>66</v>
      </c>
      <c r="C42" s="19">
        <f>37*137</f>
        <v>5069</v>
      </c>
      <c r="D42" s="19">
        <f>C42</f>
        <v>5069</v>
      </c>
      <c r="E42" s="95" t="s">
        <v>71</v>
      </c>
      <c r="F42" s="95"/>
      <c r="G42" s="96"/>
      <c r="H42" s="96"/>
      <c r="I42" s="111"/>
      <c r="J42" s="112"/>
      <c r="K42" s="112"/>
      <c r="L42" s="112"/>
      <c r="M42" s="112"/>
      <c r="N42" s="113"/>
      <c r="O42" s="76"/>
      <c r="P42" s="76"/>
      <c r="Q42" s="76"/>
      <c r="R42" s="76"/>
      <c r="S42" s="35"/>
      <c r="T42" s="66"/>
      <c r="U42" s="66"/>
      <c r="V42" s="66"/>
    </row>
    <row r="43" spans="1:22" s="67" customFormat="1" ht="31.5" customHeight="1">
      <c r="A43" s="73" t="s">
        <v>80</v>
      </c>
      <c r="B43" s="74" t="s">
        <v>66</v>
      </c>
      <c r="C43" s="19">
        <f>8*137</f>
        <v>1096</v>
      </c>
      <c r="D43" s="19">
        <f>C43</f>
        <v>1096</v>
      </c>
      <c r="E43" s="95" t="s">
        <v>71</v>
      </c>
      <c r="F43" s="95"/>
      <c r="G43" s="96"/>
      <c r="H43" s="96"/>
      <c r="I43" s="114"/>
      <c r="J43" s="115"/>
      <c r="K43" s="115"/>
      <c r="L43" s="115"/>
      <c r="M43" s="115"/>
      <c r="N43" s="116"/>
      <c r="O43" s="76"/>
      <c r="P43" s="76"/>
      <c r="Q43" s="76"/>
      <c r="R43" s="76"/>
      <c r="S43" s="35"/>
      <c r="T43" s="66"/>
      <c r="U43" s="66"/>
      <c r="V43" s="66"/>
    </row>
    <row r="44" spans="1:22" s="67" customFormat="1" ht="45" customHeight="1">
      <c r="A44" s="103" t="s">
        <v>81</v>
      </c>
      <c r="B44" s="104"/>
      <c r="C44" s="105"/>
      <c r="D44" s="71">
        <f>SUM(D45:D47)</f>
        <v>19831.71</v>
      </c>
      <c r="E44" s="106"/>
      <c r="F44" s="107"/>
      <c r="G44" s="96" t="s">
        <v>63</v>
      </c>
      <c r="H44" s="96"/>
      <c r="I44" s="108" t="s">
        <v>82</v>
      </c>
      <c r="J44" s="109"/>
      <c r="K44" s="109"/>
      <c r="L44" s="109"/>
      <c r="M44" s="109"/>
      <c r="N44" s="110"/>
      <c r="O44" s="76"/>
      <c r="P44" s="76"/>
      <c r="Q44" s="76"/>
      <c r="R44" s="76"/>
      <c r="S44" s="35"/>
      <c r="T44" s="66"/>
      <c r="U44" s="66"/>
      <c r="V44" s="66"/>
    </row>
    <row r="45" spans="1:22" s="67" customFormat="1" ht="19.5" customHeight="1">
      <c r="A45" s="73" t="s">
        <v>83</v>
      </c>
      <c r="B45" s="74" t="s">
        <v>66</v>
      </c>
      <c r="C45" s="19">
        <v>1747.71</v>
      </c>
      <c r="D45" s="19">
        <f aca="true" t="shared" si="7" ref="D45:D50">C45</f>
        <v>1747.71</v>
      </c>
      <c r="E45" s="106" t="s">
        <v>84</v>
      </c>
      <c r="F45" s="107"/>
      <c r="G45" s="96"/>
      <c r="H45" s="96"/>
      <c r="I45" s="111"/>
      <c r="J45" s="112"/>
      <c r="K45" s="112"/>
      <c r="L45" s="112"/>
      <c r="M45" s="112"/>
      <c r="N45" s="113"/>
      <c r="O45" s="76"/>
      <c r="P45" s="76"/>
      <c r="Q45" s="76"/>
      <c r="R45" s="76"/>
      <c r="S45" s="35"/>
      <c r="T45" s="66"/>
      <c r="U45" s="66"/>
      <c r="V45" s="66"/>
    </row>
    <row r="46" spans="1:22" s="67" customFormat="1" ht="19.5" customHeight="1">
      <c r="A46" s="73" t="s">
        <v>85</v>
      </c>
      <c r="B46" s="74" t="s">
        <v>66</v>
      </c>
      <c r="C46" s="19">
        <f>86*137</f>
        <v>11782</v>
      </c>
      <c r="D46" s="19">
        <f t="shared" si="7"/>
        <v>11782</v>
      </c>
      <c r="E46" s="106" t="s">
        <v>69</v>
      </c>
      <c r="F46" s="107"/>
      <c r="G46" s="96"/>
      <c r="H46" s="96"/>
      <c r="I46" s="111"/>
      <c r="J46" s="112"/>
      <c r="K46" s="112"/>
      <c r="L46" s="112"/>
      <c r="M46" s="112"/>
      <c r="N46" s="113"/>
      <c r="O46" s="76"/>
      <c r="P46" s="76"/>
      <c r="Q46" s="76"/>
      <c r="R46" s="76"/>
      <c r="S46" s="35"/>
      <c r="T46" s="66"/>
      <c r="U46" s="66"/>
      <c r="V46" s="66"/>
    </row>
    <row r="47" spans="1:22" s="67" customFormat="1" ht="30" customHeight="1">
      <c r="A47" s="73" t="s">
        <v>86</v>
      </c>
      <c r="B47" s="74" t="s">
        <v>66</v>
      </c>
      <c r="C47" s="19">
        <f>46*137</f>
        <v>6302</v>
      </c>
      <c r="D47" s="19">
        <f t="shared" si="7"/>
        <v>6302</v>
      </c>
      <c r="E47" s="106" t="s">
        <v>69</v>
      </c>
      <c r="F47" s="107"/>
      <c r="G47" s="96"/>
      <c r="H47" s="96"/>
      <c r="I47" s="114"/>
      <c r="J47" s="115"/>
      <c r="K47" s="115"/>
      <c r="L47" s="115"/>
      <c r="M47" s="115"/>
      <c r="N47" s="116"/>
      <c r="O47" s="76"/>
      <c r="P47" s="76"/>
      <c r="Q47" s="76"/>
      <c r="R47" s="76"/>
      <c r="S47" s="35"/>
      <c r="T47" s="66"/>
      <c r="U47" s="66"/>
      <c r="V47" s="66"/>
    </row>
    <row r="48" spans="1:22" s="67" customFormat="1" ht="18.75" customHeight="1">
      <c r="A48" s="77" t="s">
        <v>87</v>
      </c>
      <c r="B48" s="74" t="s">
        <v>66</v>
      </c>
      <c r="C48" s="19">
        <f>E16</f>
        <v>24784.94</v>
      </c>
      <c r="D48" s="71">
        <f t="shared" si="7"/>
        <v>24784.94</v>
      </c>
      <c r="E48" s="95" t="s">
        <v>88</v>
      </c>
      <c r="F48" s="95"/>
      <c r="G48" s="98" t="s">
        <v>63</v>
      </c>
      <c r="H48" s="98"/>
      <c r="I48" s="99" t="s">
        <v>87</v>
      </c>
      <c r="J48" s="99"/>
      <c r="K48" s="99"/>
      <c r="L48" s="99"/>
      <c r="M48" s="99"/>
      <c r="N48" s="99"/>
      <c r="O48" s="78"/>
      <c r="P48" s="78"/>
      <c r="Q48" s="78"/>
      <c r="R48" s="78"/>
      <c r="S48" s="35"/>
      <c r="T48" s="66"/>
      <c r="U48" s="66"/>
      <c r="V48" s="66"/>
    </row>
    <row r="49" spans="1:22" s="67" customFormat="1" ht="30.75" customHeight="1">
      <c r="A49" s="77" t="s">
        <v>89</v>
      </c>
      <c r="B49" s="74" t="s">
        <v>66</v>
      </c>
      <c r="C49" s="19">
        <f>E17</f>
        <v>22170.86</v>
      </c>
      <c r="D49" s="71">
        <f t="shared" si="7"/>
        <v>22170.86</v>
      </c>
      <c r="E49" s="95" t="s">
        <v>90</v>
      </c>
      <c r="F49" s="95"/>
      <c r="G49" s="96" t="s">
        <v>91</v>
      </c>
      <c r="H49" s="96"/>
      <c r="I49" s="102" t="s">
        <v>89</v>
      </c>
      <c r="J49" s="102"/>
      <c r="K49" s="102"/>
      <c r="L49" s="102"/>
      <c r="M49" s="102"/>
      <c r="N49" s="102"/>
      <c r="O49" s="75"/>
      <c r="P49" s="75"/>
      <c r="Q49" s="75"/>
      <c r="R49" s="75"/>
      <c r="S49" s="35"/>
      <c r="T49" s="66"/>
      <c r="U49" s="66"/>
      <c r="V49" s="66"/>
    </row>
    <row r="50" spans="1:22" s="67" customFormat="1" ht="17.25" customHeight="1">
      <c r="A50" s="77" t="s">
        <v>92</v>
      </c>
      <c r="B50" s="74" t="s">
        <v>66</v>
      </c>
      <c r="C50" s="19">
        <f>E18</f>
        <v>40614.31</v>
      </c>
      <c r="D50" s="71">
        <f t="shared" si="7"/>
        <v>40614.31</v>
      </c>
      <c r="E50" s="95" t="s">
        <v>88</v>
      </c>
      <c r="F50" s="95"/>
      <c r="G50" s="98" t="s">
        <v>63</v>
      </c>
      <c r="H50" s="98"/>
      <c r="I50" s="99" t="s">
        <v>92</v>
      </c>
      <c r="J50" s="99"/>
      <c r="K50" s="99"/>
      <c r="L50" s="99"/>
      <c r="M50" s="99"/>
      <c r="N50" s="99"/>
      <c r="O50" s="78"/>
      <c r="P50" s="78"/>
      <c r="Q50" s="78"/>
      <c r="R50" s="78"/>
      <c r="S50" s="35"/>
      <c r="T50" s="66"/>
      <c r="U50" s="66"/>
      <c r="V50" s="66"/>
    </row>
    <row r="51" spans="1:22" s="83" customFormat="1" ht="15">
      <c r="A51" s="79" t="s">
        <v>93</v>
      </c>
      <c r="B51" s="74"/>
      <c r="C51" s="27"/>
      <c r="D51" s="71">
        <f>SUM(D52:D54)</f>
        <v>45073</v>
      </c>
      <c r="E51" s="100"/>
      <c r="F51" s="100"/>
      <c r="G51" s="101"/>
      <c r="H51" s="101"/>
      <c r="I51" s="80"/>
      <c r="J51" s="80"/>
      <c r="K51" s="80"/>
      <c r="L51" s="80"/>
      <c r="M51" s="2"/>
      <c r="N51" s="2"/>
      <c r="O51" s="2"/>
      <c r="P51" s="81"/>
      <c r="Q51" s="81"/>
      <c r="R51" s="81"/>
      <c r="S51" s="81"/>
      <c r="T51" s="82"/>
      <c r="U51" s="82"/>
      <c r="V51" s="82"/>
    </row>
    <row r="52" spans="1:22" s="83" customFormat="1" ht="21.75" customHeight="1">
      <c r="A52" s="84" t="s">
        <v>94</v>
      </c>
      <c r="B52" s="74" t="s">
        <v>66</v>
      </c>
      <c r="C52" s="19">
        <f>24*137</f>
        <v>3288</v>
      </c>
      <c r="D52" s="19">
        <f>C52</f>
        <v>3288</v>
      </c>
      <c r="E52" s="95" t="s">
        <v>78</v>
      </c>
      <c r="F52" s="95"/>
      <c r="G52" s="96" t="s">
        <v>63</v>
      </c>
      <c r="H52" s="96"/>
      <c r="I52" s="80"/>
      <c r="J52" s="80"/>
      <c r="K52" s="80"/>
      <c r="L52" s="80"/>
      <c r="M52" s="2"/>
      <c r="N52" s="2"/>
      <c r="O52" s="2"/>
      <c r="P52" s="81"/>
      <c r="Q52" s="81"/>
      <c r="R52" s="81"/>
      <c r="S52" s="81"/>
      <c r="T52" s="82"/>
      <c r="U52" s="82"/>
      <c r="V52" s="82"/>
    </row>
    <row r="53" spans="1:22" s="83" customFormat="1" ht="21.75" customHeight="1">
      <c r="A53" s="84" t="s">
        <v>95</v>
      </c>
      <c r="B53" s="74" t="s">
        <v>66</v>
      </c>
      <c r="C53" s="19">
        <f>176*137</f>
        <v>24112</v>
      </c>
      <c r="D53" s="19">
        <f>C53</f>
        <v>24112</v>
      </c>
      <c r="E53" s="95" t="s">
        <v>96</v>
      </c>
      <c r="F53" s="95"/>
      <c r="G53" s="96" t="s">
        <v>63</v>
      </c>
      <c r="H53" s="96"/>
      <c r="I53" s="80"/>
      <c r="J53" s="80"/>
      <c r="K53" s="80"/>
      <c r="L53" s="80"/>
      <c r="M53" s="2"/>
      <c r="N53" s="2"/>
      <c r="O53" s="2"/>
      <c r="P53" s="81"/>
      <c r="Q53" s="81"/>
      <c r="R53" s="81"/>
      <c r="S53" s="81"/>
      <c r="T53" s="82"/>
      <c r="U53" s="82"/>
      <c r="V53" s="82"/>
    </row>
    <row r="54" spans="1:22" s="83" customFormat="1" ht="21.75" customHeight="1">
      <c r="A54" s="84" t="s">
        <v>97</v>
      </c>
      <c r="B54" s="74" t="s">
        <v>66</v>
      </c>
      <c r="C54" s="19">
        <f>129*137</f>
        <v>17673</v>
      </c>
      <c r="D54" s="19">
        <f>C54</f>
        <v>17673</v>
      </c>
      <c r="E54" s="95" t="s">
        <v>98</v>
      </c>
      <c r="F54" s="95"/>
      <c r="G54" s="96" t="s">
        <v>63</v>
      </c>
      <c r="H54" s="96"/>
      <c r="I54" s="80"/>
      <c r="J54" s="80"/>
      <c r="K54" s="80"/>
      <c r="L54" s="80"/>
      <c r="M54" s="2"/>
      <c r="N54" s="2"/>
      <c r="O54" s="2"/>
      <c r="P54" s="81"/>
      <c r="Q54" s="81"/>
      <c r="R54" s="81"/>
      <c r="S54" s="81"/>
      <c r="T54" s="82"/>
      <c r="U54" s="82"/>
      <c r="V54" s="82"/>
    </row>
    <row r="56" ht="15.75">
      <c r="A56" s="1" t="s">
        <v>99</v>
      </c>
    </row>
    <row r="57" spans="5:7" ht="15">
      <c r="E57" s="85" t="s">
        <v>100</v>
      </c>
      <c r="F57" s="85" t="s">
        <v>101</v>
      </c>
      <c r="G57" s="86" t="s">
        <v>102</v>
      </c>
    </row>
    <row r="58" spans="1:17" ht="32.25" customHeight="1">
      <c r="A58" s="93" t="s">
        <v>103</v>
      </c>
      <c r="B58" s="93"/>
      <c r="C58" s="93"/>
      <c r="D58" s="74" t="s">
        <v>104</v>
      </c>
      <c r="E58" s="74">
        <v>1</v>
      </c>
      <c r="F58" s="74">
        <v>3</v>
      </c>
      <c r="G58" s="97" t="s">
        <v>105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33" customHeight="1">
      <c r="A59" s="93" t="s">
        <v>106</v>
      </c>
      <c r="B59" s="93"/>
      <c r="C59" s="93"/>
      <c r="D59" s="74" t="s">
        <v>104</v>
      </c>
      <c r="E59" s="74">
        <v>1</v>
      </c>
      <c r="F59" s="74">
        <v>3</v>
      </c>
      <c r="G59" s="94" t="s">
        <v>107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t="32.25" customHeight="1">
      <c r="A60" s="93" t="s">
        <v>108</v>
      </c>
      <c r="B60" s="93"/>
      <c r="C60" s="93"/>
      <c r="D60" s="74" t="s">
        <v>104</v>
      </c>
      <c r="E60" s="74">
        <v>0</v>
      </c>
      <c r="F60" s="74">
        <v>0</v>
      </c>
      <c r="G60" s="92" t="s">
        <v>109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22.5" customHeight="1">
      <c r="A61" s="93" t="s">
        <v>110</v>
      </c>
      <c r="B61" s="93"/>
      <c r="C61" s="93"/>
      <c r="D61" s="74" t="s">
        <v>111</v>
      </c>
      <c r="E61" s="19">
        <v>0</v>
      </c>
      <c r="F61" s="19">
        <v>0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7:17" ht="15" customHeight="1"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22" s="2" customFormat="1" ht="15.75">
      <c r="A63" s="1" t="s">
        <v>112</v>
      </c>
      <c r="F63" s="3"/>
      <c r="G63" s="3"/>
      <c r="H63" s="3"/>
      <c r="I63" s="3"/>
      <c r="J63" s="3"/>
      <c r="K63" s="3"/>
      <c r="L63" s="3"/>
      <c r="P63" s="4"/>
      <c r="Q63" s="4"/>
      <c r="R63" s="5"/>
      <c r="S63" s="5"/>
      <c r="T63" s="5"/>
      <c r="U63" s="5"/>
      <c r="V63" s="5"/>
    </row>
    <row r="64" spans="1:22" s="2" customFormat="1" ht="34.5" customHeight="1">
      <c r="A64" s="93" t="s">
        <v>113</v>
      </c>
      <c r="B64" s="93"/>
      <c r="C64" s="93"/>
      <c r="D64" s="74" t="s">
        <v>104</v>
      </c>
      <c r="E64" s="74">
        <v>7</v>
      </c>
      <c r="F64" s="3"/>
      <c r="G64" s="3"/>
      <c r="H64" s="3"/>
      <c r="I64" s="3"/>
      <c r="J64" s="3"/>
      <c r="K64" s="3"/>
      <c r="L64" s="3"/>
      <c r="P64" s="4"/>
      <c r="Q64" s="4"/>
      <c r="R64" s="5"/>
      <c r="S64" s="5"/>
      <c r="T64" s="5"/>
      <c r="U64" s="5"/>
      <c r="V64" s="5"/>
    </row>
    <row r="65" spans="1:22" s="2" customFormat="1" ht="26.25" customHeight="1">
      <c r="A65" s="93" t="s">
        <v>114</v>
      </c>
      <c r="B65" s="93"/>
      <c r="C65" s="93"/>
      <c r="D65" s="74" t="s">
        <v>104</v>
      </c>
      <c r="E65" s="74">
        <v>2</v>
      </c>
      <c r="F65" s="3"/>
      <c r="G65" s="3"/>
      <c r="H65" s="3"/>
      <c r="I65" s="3"/>
      <c r="J65" s="3"/>
      <c r="K65" s="3"/>
      <c r="L65" s="3"/>
      <c r="P65" s="4"/>
      <c r="Q65" s="4"/>
      <c r="R65" s="5"/>
      <c r="S65" s="5"/>
      <c r="T65" s="5"/>
      <c r="U65" s="5"/>
      <c r="V65" s="5"/>
    </row>
    <row r="66" spans="1:22" s="2" customFormat="1" ht="42.75" customHeight="1">
      <c r="A66" s="93" t="s">
        <v>115</v>
      </c>
      <c r="B66" s="93"/>
      <c r="C66" s="93"/>
      <c r="D66" s="74" t="s">
        <v>111</v>
      </c>
      <c r="E66" s="87">
        <f>65400.87</f>
        <v>65400.87</v>
      </c>
      <c r="F66" s="3"/>
      <c r="G66" s="3"/>
      <c r="H66" s="3"/>
      <c r="I66" s="3"/>
      <c r="J66" s="3"/>
      <c r="K66" s="3"/>
      <c r="L66" s="3"/>
      <c r="P66" s="4"/>
      <c r="Q66" s="4"/>
      <c r="R66" s="5"/>
      <c r="S66" s="5"/>
      <c r="T66" s="5"/>
      <c r="U66" s="5"/>
      <c r="V66" s="5"/>
    </row>
    <row r="70" spans="1:2" ht="15">
      <c r="A70" s="4" t="s">
        <v>116</v>
      </c>
      <c r="B70" s="6" t="s">
        <v>117</v>
      </c>
    </row>
  </sheetData>
  <sheetProtection/>
  <mergeCells count="72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6"/>
    <mergeCell ref="I27:I28"/>
    <mergeCell ref="E32:F32"/>
    <mergeCell ref="G32:H32"/>
    <mergeCell ref="I32:N32"/>
    <mergeCell ref="A33:C33"/>
    <mergeCell ref="E33:F33"/>
    <mergeCell ref="G33:H33"/>
    <mergeCell ref="I33:N33"/>
    <mergeCell ref="A34:C34"/>
    <mergeCell ref="E34:F34"/>
    <mergeCell ref="G34:H39"/>
    <mergeCell ref="I34:N39"/>
    <mergeCell ref="E35:F35"/>
    <mergeCell ref="E36:F36"/>
    <mergeCell ref="E37:F37"/>
    <mergeCell ref="E38:F38"/>
    <mergeCell ref="E39:F39"/>
    <mergeCell ref="A40:C40"/>
    <mergeCell ref="E40:F40"/>
    <mergeCell ref="G40:H43"/>
    <mergeCell ref="I40:N43"/>
    <mergeCell ref="E41:F41"/>
    <mergeCell ref="E42:F42"/>
    <mergeCell ref="E43:F43"/>
    <mergeCell ref="A44:C44"/>
    <mergeCell ref="E44:F44"/>
    <mergeCell ref="G44:H47"/>
    <mergeCell ref="I44:N47"/>
    <mergeCell ref="E45:F45"/>
    <mergeCell ref="E46:F46"/>
    <mergeCell ref="E47:F47"/>
    <mergeCell ref="E48:F48"/>
    <mergeCell ref="G48:H48"/>
    <mergeCell ref="I48:N48"/>
    <mergeCell ref="E49:F49"/>
    <mergeCell ref="G49:H49"/>
    <mergeCell ref="I49:N49"/>
    <mergeCell ref="E50:F50"/>
    <mergeCell ref="G50:H50"/>
    <mergeCell ref="I50:N50"/>
    <mergeCell ref="E51:F51"/>
    <mergeCell ref="G51:H51"/>
    <mergeCell ref="E52:F52"/>
    <mergeCell ref="G52:H52"/>
    <mergeCell ref="E53:F53"/>
    <mergeCell ref="G53:H53"/>
    <mergeCell ref="E54:F54"/>
    <mergeCell ref="G54:H54"/>
    <mergeCell ref="A58:C58"/>
    <mergeCell ref="G58:Q58"/>
    <mergeCell ref="G62:Q62"/>
    <mergeCell ref="A64:C64"/>
    <mergeCell ref="A65:C65"/>
    <mergeCell ref="A66:C66"/>
    <mergeCell ref="A59:C59"/>
    <mergeCell ref="G59:Q59"/>
    <mergeCell ref="A60:C60"/>
    <mergeCell ref="G60:Q60"/>
    <mergeCell ref="A61:C61"/>
    <mergeCell ref="G61:Q61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86" zoomScaleNormal="86" zoomScalePageLayoutView="0" workbookViewId="0" topLeftCell="A1">
      <selection activeCell="K12" sqref="K12"/>
    </sheetView>
  </sheetViews>
  <sheetFormatPr defaultColWidth="9.140625" defaultRowHeight="15"/>
  <cols>
    <col min="1" max="1" width="47.57421875" style="4" customWidth="1"/>
    <col min="2" max="2" width="12.0039062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4.00390625" style="3" customWidth="1"/>
    <col min="8" max="8" width="14.14062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7109375" style="4" customWidth="1"/>
    <col min="17" max="17" width="8.42187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118</v>
      </c>
    </row>
    <row r="5" ht="15">
      <c r="A5" s="4" t="s">
        <v>3</v>
      </c>
    </row>
    <row r="6" ht="15">
      <c r="A6" s="4" t="s">
        <v>4</v>
      </c>
    </row>
    <row r="7" ht="15">
      <c r="A7" s="4" t="s">
        <v>119</v>
      </c>
    </row>
    <row r="8" ht="15">
      <c r="A8" s="4" t="s">
        <v>6</v>
      </c>
    </row>
    <row r="9" ht="15.75" thickBot="1"/>
    <row r="10" spans="1:22" s="8" customFormat="1" ht="15.75" customHeight="1">
      <c r="A10" s="139" t="s">
        <v>7</v>
      </c>
      <c r="B10" s="142" t="s">
        <v>8</v>
      </c>
      <c r="C10" s="135" t="s">
        <v>9</v>
      </c>
      <c r="D10" s="135" t="s">
        <v>10</v>
      </c>
      <c r="E10" s="135" t="s">
        <v>11</v>
      </c>
      <c r="F10" s="135" t="s">
        <v>12</v>
      </c>
      <c r="G10" s="135"/>
      <c r="H10" s="135"/>
      <c r="I10" s="135"/>
      <c r="J10" s="135"/>
      <c r="K10" s="135"/>
      <c r="L10" s="135" t="s">
        <v>13</v>
      </c>
      <c r="M10" s="135" t="s">
        <v>14</v>
      </c>
      <c r="N10" s="135" t="s">
        <v>15</v>
      </c>
      <c r="O10" s="137" t="s">
        <v>16</v>
      </c>
      <c r="P10" s="139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40"/>
      <c r="B11" s="143"/>
      <c r="C11" s="136"/>
      <c r="D11" s="136"/>
      <c r="E11" s="136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6"/>
      <c r="M11" s="136"/>
      <c r="N11" s="136"/>
      <c r="O11" s="138"/>
      <c r="P11" s="140"/>
      <c r="Q11" s="7"/>
      <c r="R11" s="7"/>
      <c r="S11" s="7"/>
      <c r="T11" s="7"/>
      <c r="U11" s="7"/>
      <c r="V11" s="7"/>
    </row>
    <row r="12" spans="1:22" s="16" customFormat="1" ht="15.75" customHeight="1">
      <c r="A12" s="10" t="s">
        <v>24</v>
      </c>
      <c r="B12" s="11">
        <f>SUM(B13:B19)</f>
        <v>0</v>
      </c>
      <c r="C12" s="12">
        <f>SUM(C13:C19)</f>
        <v>-614.2000000000003</v>
      </c>
      <c r="D12" s="12">
        <f>SUM(D13:D19)</f>
        <v>15743.140000000001</v>
      </c>
      <c r="E12" s="12">
        <f>SUM(E13:E19)</f>
        <v>184582.31999999998</v>
      </c>
      <c r="F12" s="12">
        <f>SUM(F13:F19)</f>
        <v>130724.14</v>
      </c>
      <c r="G12" s="12">
        <v>0</v>
      </c>
      <c r="H12" s="12">
        <v>0</v>
      </c>
      <c r="I12" s="12">
        <v>0</v>
      </c>
      <c r="J12" s="12">
        <v>0</v>
      </c>
      <c r="K12" s="12">
        <f>SUM(K13:K19)</f>
        <v>130109.93999999997</v>
      </c>
      <c r="L12" s="12">
        <f>SUM(L13:L19)</f>
        <v>188331.05</v>
      </c>
      <c r="M12" s="12">
        <f>SUM(M13:M19)</f>
        <v>0</v>
      </c>
      <c r="N12" s="12">
        <f>SUM(N13:N19)</f>
        <v>-58221.11</v>
      </c>
      <c r="O12" s="13">
        <f>SUM(O13:O19)</f>
        <v>69601.31999999999</v>
      </c>
      <c r="P12" s="14">
        <f aca="true" t="shared" si="0" ref="P12:P21">F12/(D12+E12)</f>
        <v>0.6525587910792767</v>
      </c>
      <c r="Q12" s="15"/>
      <c r="R12" s="15"/>
      <c r="S12" s="15"/>
      <c r="T12" s="15"/>
      <c r="U12" s="15"/>
      <c r="V12" s="15"/>
    </row>
    <row r="13" spans="1:22" s="23" customFormat="1" ht="57" customHeight="1">
      <c r="A13" s="17" t="s">
        <v>25</v>
      </c>
      <c r="B13" s="18">
        <v>0</v>
      </c>
      <c r="C13" s="19">
        <v>1968.1</v>
      </c>
      <c r="D13" s="19">
        <v>1474.08</v>
      </c>
      <c r="E13" s="19">
        <v>25262.71</v>
      </c>
      <c r="F13" s="19">
        <v>17889.81</v>
      </c>
      <c r="G13" s="19">
        <v>0</v>
      </c>
      <c r="H13" s="19">
        <v>0</v>
      </c>
      <c r="I13" s="19">
        <v>0</v>
      </c>
      <c r="J13" s="19">
        <v>0</v>
      </c>
      <c r="K13" s="19">
        <f>F13+G13+H13+I13+J13+C13</f>
        <v>19857.91</v>
      </c>
      <c r="L13" s="19">
        <f>D34</f>
        <v>25208</v>
      </c>
      <c r="M13" s="19">
        <v>0</v>
      </c>
      <c r="N13" s="19">
        <f>K13-L13</f>
        <v>-5350.09</v>
      </c>
      <c r="O13" s="20">
        <f>D13+E13-F13</f>
        <v>8846.98</v>
      </c>
      <c r="P13" s="21">
        <f t="shared" si="0"/>
        <v>0.6691083709001716</v>
      </c>
      <c r="Q13" s="22"/>
      <c r="R13" s="22"/>
      <c r="S13" s="22"/>
      <c r="T13" s="22"/>
      <c r="U13" s="22"/>
      <c r="V13" s="22"/>
    </row>
    <row r="14" spans="1:22" s="23" customFormat="1" ht="29.25" customHeight="1">
      <c r="A14" s="17" t="s">
        <v>26</v>
      </c>
      <c r="B14" s="18">
        <v>0</v>
      </c>
      <c r="C14" s="19">
        <v>564.62</v>
      </c>
      <c r="D14" s="19">
        <v>422.89</v>
      </c>
      <c r="E14" s="19">
        <v>7259.4</v>
      </c>
      <c r="F14" s="19">
        <v>5142.5</v>
      </c>
      <c r="G14" s="19">
        <v>0</v>
      </c>
      <c r="H14" s="19">
        <v>0</v>
      </c>
      <c r="I14" s="19">
        <v>0</v>
      </c>
      <c r="J14" s="19">
        <v>0</v>
      </c>
      <c r="K14" s="19">
        <f aca="true" t="shared" si="1" ref="K14:K20">F14+G14+H14+I14+J14+C14</f>
        <v>5707.12</v>
      </c>
      <c r="L14" s="19">
        <f>D40</f>
        <v>9300</v>
      </c>
      <c r="M14" s="19">
        <v>0</v>
      </c>
      <c r="N14" s="19">
        <f aca="true" t="shared" si="2" ref="N14:N20">K14-L14</f>
        <v>-3592.88</v>
      </c>
      <c r="O14" s="20">
        <f aca="true" t="shared" si="3" ref="O14:O19">D14+E14-F14</f>
        <v>2539.79</v>
      </c>
      <c r="P14" s="21">
        <f t="shared" si="0"/>
        <v>0.6693967553945503</v>
      </c>
      <c r="Q14" s="22"/>
      <c r="R14" s="22"/>
      <c r="S14" s="22"/>
      <c r="T14" s="22"/>
      <c r="U14" s="22"/>
      <c r="V14" s="22"/>
    </row>
    <row r="15" spans="1:22" s="23" customFormat="1" ht="58.5" customHeight="1">
      <c r="A15" s="17" t="s">
        <v>27</v>
      </c>
      <c r="B15" s="18">
        <v>0</v>
      </c>
      <c r="C15" s="19">
        <v>-320.42</v>
      </c>
      <c r="D15" s="19">
        <v>1135.77</v>
      </c>
      <c r="E15" s="19">
        <v>19455.19</v>
      </c>
      <c r="F15" s="19">
        <v>13775.8</v>
      </c>
      <c r="G15" s="19">
        <v>0</v>
      </c>
      <c r="H15" s="19">
        <v>0</v>
      </c>
      <c r="I15" s="19">
        <v>0</v>
      </c>
      <c r="J15" s="19">
        <v>0</v>
      </c>
      <c r="K15" s="19">
        <f t="shared" si="1"/>
        <v>13455.38</v>
      </c>
      <c r="L15" s="19">
        <f>D44</f>
        <v>21201.71</v>
      </c>
      <c r="M15" s="19">
        <v>0</v>
      </c>
      <c r="N15" s="19">
        <f t="shared" si="2"/>
        <v>-7746.33</v>
      </c>
      <c r="O15" s="20">
        <f t="shared" si="3"/>
        <v>6815.16</v>
      </c>
      <c r="P15" s="21">
        <f t="shared" si="0"/>
        <v>0.6690217454650002</v>
      </c>
      <c r="Q15" s="22"/>
      <c r="R15" s="22"/>
      <c r="S15" s="22"/>
      <c r="T15" s="22"/>
      <c r="U15" s="22"/>
      <c r="V15" s="22"/>
    </row>
    <row r="16" spans="1:22" s="23" customFormat="1" ht="20.25" customHeight="1">
      <c r="A16" s="17" t="s">
        <v>28</v>
      </c>
      <c r="B16" s="18">
        <v>0</v>
      </c>
      <c r="C16" s="19">
        <v>1927.77</v>
      </c>
      <c r="D16" s="19">
        <v>1443.88</v>
      </c>
      <c r="E16" s="19">
        <v>24778.73</v>
      </c>
      <c r="F16" s="19">
        <v>17552.05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19479.82</v>
      </c>
      <c r="L16" s="19">
        <f>D49</f>
        <v>24778.73</v>
      </c>
      <c r="M16" s="19">
        <v>0</v>
      </c>
      <c r="N16" s="19">
        <f t="shared" si="2"/>
        <v>-5298.91</v>
      </c>
      <c r="O16" s="20">
        <f t="shared" si="3"/>
        <v>8670.560000000001</v>
      </c>
      <c r="P16" s="21">
        <f t="shared" si="0"/>
        <v>0.6693479405749465</v>
      </c>
      <c r="Q16" s="22"/>
      <c r="R16" s="22"/>
      <c r="S16" s="22"/>
      <c r="T16" s="22"/>
      <c r="U16" s="22"/>
      <c r="V16" s="22"/>
    </row>
    <row r="17" spans="1:22" s="23" customFormat="1" ht="28.5" customHeight="1">
      <c r="A17" s="17" t="s">
        <v>29</v>
      </c>
      <c r="B17" s="18">
        <v>0</v>
      </c>
      <c r="C17" s="19">
        <v>-815.86</v>
      </c>
      <c r="D17" s="19">
        <v>6270.35</v>
      </c>
      <c r="E17" s="19">
        <v>22165.37</v>
      </c>
      <c r="F17" s="19">
        <v>15697.71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14881.849999999999</v>
      </c>
      <c r="L17" s="19">
        <f>D50</f>
        <v>22165.37</v>
      </c>
      <c r="M17" s="19">
        <v>0</v>
      </c>
      <c r="N17" s="19">
        <f t="shared" si="2"/>
        <v>-7283.52</v>
      </c>
      <c r="O17" s="20">
        <f t="shared" si="3"/>
        <v>12738.010000000002</v>
      </c>
      <c r="P17" s="21">
        <f t="shared" si="0"/>
        <v>0.5520419388009166</v>
      </c>
      <c r="Q17" s="22"/>
      <c r="R17" s="22"/>
      <c r="S17" s="22"/>
      <c r="T17" s="22"/>
      <c r="U17" s="22"/>
      <c r="V17" s="22"/>
    </row>
    <row r="18" spans="1:22" s="23" customFormat="1" ht="15.75" customHeight="1">
      <c r="A18" s="17" t="s">
        <v>30</v>
      </c>
      <c r="B18" s="18">
        <v>0</v>
      </c>
      <c r="C18" s="19">
        <v>-3161.18</v>
      </c>
      <c r="D18" s="19">
        <v>2368.2</v>
      </c>
      <c r="E18" s="19">
        <v>40604.24</v>
      </c>
      <c r="F18" s="19">
        <v>28756.61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25595.43</v>
      </c>
      <c r="L18" s="19">
        <f>D51</f>
        <v>40604.24</v>
      </c>
      <c r="M18" s="19">
        <v>0</v>
      </c>
      <c r="N18" s="19">
        <f t="shared" si="2"/>
        <v>-15008.809999999998</v>
      </c>
      <c r="O18" s="20">
        <f t="shared" si="3"/>
        <v>14215.829999999994</v>
      </c>
      <c r="P18" s="21">
        <f t="shared" si="0"/>
        <v>0.6691872744484606</v>
      </c>
      <c r="Q18" s="22"/>
      <c r="R18" s="22"/>
      <c r="S18" s="22"/>
      <c r="T18" s="22"/>
      <c r="U18" s="22"/>
      <c r="V18" s="22"/>
    </row>
    <row r="19" spans="1:22" s="23" customFormat="1" ht="17.25" customHeight="1">
      <c r="A19" s="17" t="s">
        <v>31</v>
      </c>
      <c r="B19" s="18">
        <v>0</v>
      </c>
      <c r="C19" s="19">
        <v>-777.23</v>
      </c>
      <c r="D19" s="19">
        <v>2627.97</v>
      </c>
      <c r="E19" s="19">
        <v>45056.68</v>
      </c>
      <c r="F19" s="19">
        <v>31909.66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31132.43</v>
      </c>
      <c r="L19" s="19">
        <f>D52</f>
        <v>45073</v>
      </c>
      <c r="M19" s="19">
        <v>0</v>
      </c>
      <c r="N19" s="19">
        <f t="shared" si="2"/>
        <v>-13940.57</v>
      </c>
      <c r="O19" s="20">
        <f t="shared" si="3"/>
        <v>15774.990000000002</v>
      </c>
      <c r="P19" s="21">
        <f t="shared" si="0"/>
        <v>0.6691809628465345</v>
      </c>
      <c r="Q19" s="22"/>
      <c r="R19" s="22"/>
      <c r="S19" s="22"/>
      <c r="T19" s="22"/>
      <c r="U19" s="22"/>
      <c r="V19" s="22"/>
    </row>
    <row r="20" spans="1:22" s="16" customFormat="1" ht="18.75" customHeight="1" thickBot="1">
      <c r="A20" s="24" t="s">
        <v>32</v>
      </c>
      <c r="B20" s="25">
        <v>0</v>
      </c>
      <c r="C20" s="26">
        <v>962.6</v>
      </c>
      <c r="D20" s="26">
        <v>586.77</v>
      </c>
      <c r="E20" s="26">
        <v>22670.01</v>
      </c>
      <c r="F20" s="26">
        <v>19624.1</v>
      </c>
      <c r="G20" s="26">
        <v>0</v>
      </c>
      <c r="H20" s="26">
        <v>0</v>
      </c>
      <c r="I20" s="26">
        <v>0</v>
      </c>
      <c r="J20" s="26">
        <v>0</v>
      </c>
      <c r="K20" s="27">
        <f t="shared" si="1"/>
        <v>20586.699999999997</v>
      </c>
      <c r="L20" s="27">
        <f>E20+C20</f>
        <v>23632.609999999997</v>
      </c>
      <c r="M20" s="26">
        <v>0</v>
      </c>
      <c r="N20" s="27">
        <f t="shared" si="2"/>
        <v>-3045.91</v>
      </c>
      <c r="O20" s="28">
        <f>D20+E20-F20</f>
        <v>3632.6800000000003</v>
      </c>
      <c r="P20" s="29">
        <f t="shared" si="0"/>
        <v>0.8438012484961375</v>
      </c>
      <c r="Q20" s="15"/>
      <c r="R20" s="15"/>
      <c r="S20" s="15"/>
      <c r="T20" s="15"/>
      <c r="U20" s="15"/>
      <c r="V20" s="15"/>
    </row>
    <row r="21" spans="1:22" s="16" customFormat="1" ht="17.25" customHeight="1" thickBot="1">
      <c r="A21" s="30" t="s">
        <v>33</v>
      </c>
      <c r="B21" s="31">
        <f aca="true" t="shared" si="4" ref="B21:O21">SUM(B13:B20)</f>
        <v>0</v>
      </c>
      <c r="C21" s="32">
        <f t="shared" si="4"/>
        <v>348.39999999999975</v>
      </c>
      <c r="D21" s="32">
        <f t="shared" si="4"/>
        <v>16329.910000000002</v>
      </c>
      <c r="E21" s="32">
        <f t="shared" si="4"/>
        <v>207252.33</v>
      </c>
      <c r="F21" s="32">
        <f t="shared" si="4"/>
        <v>150348.24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150696.63999999996</v>
      </c>
      <c r="L21" s="32">
        <f t="shared" si="4"/>
        <v>211963.65999999997</v>
      </c>
      <c r="M21" s="32">
        <f t="shared" si="4"/>
        <v>0</v>
      </c>
      <c r="N21" s="32">
        <f t="shared" si="4"/>
        <v>-61267.020000000004</v>
      </c>
      <c r="O21" s="33">
        <f t="shared" si="4"/>
        <v>73234</v>
      </c>
      <c r="P21" s="34">
        <f t="shared" si="0"/>
        <v>0.6724516222755439</v>
      </c>
      <c r="Q21" s="15"/>
      <c r="R21" s="15"/>
      <c r="S21" s="15"/>
      <c r="T21" s="15"/>
      <c r="U21" s="15"/>
      <c r="V21" s="15"/>
    </row>
    <row r="22" spans="1:17" ht="15.75" thickBot="1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6"/>
      <c r="N22" s="36"/>
      <c r="O22" s="36"/>
      <c r="P22" s="35"/>
      <c r="Q22" s="35"/>
    </row>
    <row r="23" spans="1:22" s="8" customFormat="1" ht="86.25" customHeight="1" thickBot="1">
      <c r="A23" s="38" t="s">
        <v>34</v>
      </c>
      <c r="B23" s="39" t="s">
        <v>35</v>
      </c>
      <c r="C23" s="40" t="s">
        <v>36</v>
      </c>
      <c r="D23" s="40" t="s">
        <v>8</v>
      </c>
      <c r="E23" s="40" t="s">
        <v>9</v>
      </c>
      <c r="F23" s="40" t="s">
        <v>10</v>
      </c>
      <c r="G23" s="40" t="s">
        <v>37</v>
      </c>
      <c r="H23" s="40" t="s">
        <v>38</v>
      </c>
      <c r="I23" s="40" t="s">
        <v>39</v>
      </c>
      <c r="J23" s="40" t="s">
        <v>40</v>
      </c>
      <c r="K23" s="40" t="s">
        <v>41</v>
      </c>
      <c r="L23" s="40" t="s">
        <v>42</v>
      </c>
      <c r="M23" s="40" t="s">
        <v>43</v>
      </c>
      <c r="N23" s="40" t="s">
        <v>14</v>
      </c>
      <c r="O23" s="40" t="s">
        <v>15</v>
      </c>
      <c r="P23" s="41" t="s">
        <v>16</v>
      </c>
      <c r="Q23" s="42" t="s">
        <v>17</v>
      </c>
      <c r="R23" s="7"/>
      <c r="S23" s="7"/>
      <c r="T23" s="7"/>
      <c r="U23" s="7"/>
      <c r="V23" s="7"/>
    </row>
    <row r="24" spans="1:22" s="50" customFormat="1" ht="17.25" customHeight="1">
      <c r="A24" s="43" t="s">
        <v>44</v>
      </c>
      <c r="B24" s="44" t="s">
        <v>45</v>
      </c>
      <c r="C24" s="45">
        <v>1422.69</v>
      </c>
      <c r="D24" s="46">
        <v>0</v>
      </c>
      <c r="E24" s="46">
        <v>-1427.52</v>
      </c>
      <c r="F24" s="46">
        <v>6023.07</v>
      </c>
      <c r="G24" s="46">
        <v>26244.96</v>
      </c>
      <c r="H24" s="46">
        <v>26263.03</v>
      </c>
      <c r="I24" s="141" t="s">
        <v>46</v>
      </c>
      <c r="J24" s="46">
        <v>26244.96</v>
      </c>
      <c r="K24" s="46">
        <v>25159.81</v>
      </c>
      <c r="L24" s="46">
        <f>J24-K24</f>
        <v>1085.1499999999978</v>
      </c>
      <c r="M24" s="46">
        <v>0</v>
      </c>
      <c r="N24" s="46">
        <v>0</v>
      </c>
      <c r="O24" s="46">
        <f>E24+H24-J24</f>
        <v>-1409.4500000000007</v>
      </c>
      <c r="P24" s="47">
        <f>F24+G24-H24</f>
        <v>6005</v>
      </c>
      <c r="Q24" s="48">
        <f aca="true" t="shared" si="5" ref="Q24:Q29">H24/(F24+G24)</f>
        <v>0.8139024911034234</v>
      </c>
      <c r="R24" s="49"/>
      <c r="S24" s="49"/>
      <c r="T24" s="49"/>
      <c r="U24" s="49"/>
      <c r="V24" s="49"/>
    </row>
    <row r="25" spans="1:22" s="50" customFormat="1" ht="17.25" customHeight="1">
      <c r="A25" s="51" t="s">
        <v>47</v>
      </c>
      <c r="B25" s="52" t="s">
        <v>48</v>
      </c>
      <c r="C25" s="53">
        <v>63.719</v>
      </c>
      <c r="D25" s="19">
        <v>0</v>
      </c>
      <c r="E25" s="19">
        <v>-3413.56</v>
      </c>
      <c r="F25" s="19">
        <v>14385.82</v>
      </c>
      <c r="G25" s="19">
        <v>66479.36</v>
      </c>
      <c r="H25" s="19">
        <v>65878.38</v>
      </c>
      <c r="I25" s="126"/>
      <c r="J25" s="19">
        <v>66479.36</v>
      </c>
      <c r="K25" s="19">
        <v>63111.05</v>
      </c>
      <c r="L25" s="46">
        <f>J25-K25</f>
        <v>3368.3099999999977</v>
      </c>
      <c r="M25" s="19">
        <v>0</v>
      </c>
      <c r="N25" s="19">
        <v>0</v>
      </c>
      <c r="O25" s="46">
        <f>E25+H25-J25</f>
        <v>-4014.5399999999936</v>
      </c>
      <c r="P25" s="47">
        <f>F25+G25-H25</f>
        <v>14986.799999999988</v>
      </c>
      <c r="Q25" s="48">
        <f t="shared" si="5"/>
        <v>0.8146693051323204</v>
      </c>
      <c r="R25" s="49"/>
      <c r="S25" s="49"/>
      <c r="T25" s="49"/>
      <c r="U25" s="49"/>
      <c r="V25" s="49"/>
    </row>
    <row r="26" spans="1:22" s="50" customFormat="1" ht="17.25" customHeight="1">
      <c r="A26" s="51" t="s">
        <v>49</v>
      </c>
      <c r="B26" s="52" t="s">
        <v>48</v>
      </c>
      <c r="C26" s="53">
        <v>181.552</v>
      </c>
      <c r="D26" s="19">
        <v>0</v>
      </c>
      <c r="E26" s="19">
        <v>-36282.96</v>
      </c>
      <c r="F26" s="19">
        <v>56202.69</v>
      </c>
      <c r="G26" s="19">
        <v>189898.05</v>
      </c>
      <c r="H26" s="19">
        <v>153459.16</v>
      </c>
      <c r="I26" s="126"/>
      <c r="J26" s="19">
        <v>189898.05</v>
      </c>
      <c r="K26" s="19">
        <v>147012.85</v>
      </c>
      <c r="L26" s="46">
        <f>J26-K26</f>
        <v>42885.19999999998</v>
      </c>
      <c r="M26" s="19">
        <v>0</v>
      </c>
      <c r="N26" s="19">
        <v>0</v>
      </c>
      <c r="O26" s="46">
        <f>E26+H26-J26</f>
        <v>-72721.84999999998</v>
      </c>
      <c r="P26" s="47">
        <f>F26+G26-H26</f>
        <v>92641.57999999999</v>
      </c>
      <c r="Q26" s="48">
        <f t="shared" si="5"/>
        <v>0.623562367183455</v>
      </c>
      <c r="R26" s="49"/>
      <c r="S26" s="49"/>
      <c r="T26" s="49"/>
      <c r="U26" s="49"/>
      <c r="V26" s="49"/>
    </row>
    <row r="27" spans="1:22" s="50" customFormat="1" ht="17.25" customHeight="1">
      <c r="A27" s="51" t="s">
        <v>50</v>
      </c>
      <c r="B27" s="52" t="s">
        <v>45</v>
      </c>
      <c r="C27" s="53">
        <f>1603.791+133.769</f>
        <v>1737.56</v>
      </c>
      <c r="D27" s="19">
        <v>0</v>
      </c>
      <c r="E27" s="19">
        <v>0</v>
      </c>
      <c r="F27" s="19">
        <v>3886.57</v>
      </c>
      <c r="G27" s="19">
        <v>32055.92</v>
      </c>
      <c r="H27" s="19">
        <v>29081.88</v>
      </c>
      <c r="I27" s="126" t="s">
        <v>51</v>
      </c>
      <c r="J27" s="19">
        <v>32055.92</v>
      </c>
      <c r="K27" s="19">
        <v>28442.16</v>
      </c>
      <c r="L27" s="46">
        <f>J27-K27</f>
        <v>3613.7599999999984</v>
      </c>
      <c r="M27" s="19">
        <v>0</v>
      </c>
      <c r="N27" s="19">
        <v>0</v>
      </c>
      <c r="O27" s="46">
        <f>E27+H27-J27</f>
        <v>-2974.0399999999972</v>
      </c>
      <c r="P27" s="47">
        <f>F27+G27-H27</f>
        <v>6860.609999999997</v>
      </c>
      <c r="Q27" s="48">
        <f t="shared" si="5"/>
        <v>0.8091225733108642</v>
      </c>
      <c r="R27" s="49"/>
      <c r="S27" s="49"/>
      <c r="T27" s="49"/>
      <c r="U27" s="49"/>
      <c r="V27" s="49"/>
    </row>
    <row r="28" spans="1:22" s="50" customFormat="1" ht="17.25" customHeight="1" thickBot="1">
      <c r="A28" s="54" t="s">
        <v>52</v>
      </c>
      <c r="B28" s="55" t="s">
        <v>45</v>
      </c>
      <c r="C28" s="56">
        <f>2440.311+189.528</f>
        <v>2629.839</v>
      </c>
      <c r="D28" s="57">
        <v>0</v>
      </c>
      <c r="E28" s="57">
        <v>0</v>
      </c>
      <c r="F28" s="57">
        <v>4746.4</v>
      </c>
      <c r="G28" s="57">
        <v>65650.03</v>
      </c>
      <c r="H28" s="57">
        <v>55652.2</v>
      </c>
      <c r="I28" s="127"/>
      <c r="J28" s="57">
        <v>65650.03</v>
      </c>
      <c r="K28" s="57">
        <v>54434.49</v>
      </c>
      <c r="L28" s="46">
        <f>J28-K28</f>
        <v>11215.54</v>
      </c>
      <c r="M28" s="57">
        <v>0</v>
      </c>
      <c r="N28" s="57">
        <v>0</v>
      </c>
      <c r="O28" s="46">
        <f>E28+H28-J28</f>
        <v>-9997.830000000002</v>
      </c>
      <c r="P28" s="47">
        <f>F28+G28-H28</f>
        <v>14744.229999999996</v>
      </c>
      <c r="Q28" s="58">
        <f t="shared" si="5"/>
        <v>0.7905542937333613</v>
      </c>
      <c r="R28" s="49"/>
      <c r="S28" s="49"/>
      <c r="T28" s="49"/>
      <c r="U28" s="49"/>
      <c r="V28" s="49"/>
    </row>
    <row r="29" spans="1:22" s="63" customFormat="1" ht="17.25" customHeight="1" thickBot="1">
      <c r="A29" s="59" t="s">
        <v>53</v>
      </c>
      <c r="B29" s="60"/>
      <c r="C29" s="61"/>
      <c r="D29" s="32">
        <f>SUM(D24:D28)</f>
        <v>0</v>
      </c>
      <c r="E29" s="32">
        <f aca="true" t="shared" si="6" ref="E29:P29">SUM(E24:E28)</f>
        <v>-41124.04</v>
      </c>
      <c r="F29" s="32">
        <f t="shared" si="6"/>
        <v>85244.55</v>
      </c>
      <c r="G29" s="32">
        <f t="shared" si="6"/>
        <v>380328.31999999995</v>
      </c>
      <c r="H29" s="32">
        <f t="shared" si="6"/>
        <v>330334.65</v>
      </c>
      <c r="I29" s="32"/>
      <c r="J29" s="32">
        <f t="shared" si="6"/>
        <v>380328.31999999995</v>
      </c>
      <c r="K29" s="32">
        <f t="shared" si="6"/>
        <v>318160.36</v>
      </c>
      <c r="L29" s="32">
        <f t="shared" si="6"/>
        <v>62167.95999999997</v>
      </c>
      <c r="M29" s="32">
        <f t="shared" si="6"/>
        <v>0</v>
      </c>
      <c r="N29" s="32">
        <f t="shared" si="6"/>
        <v>0</v>
      </c>
      <c r="O29" s="32">
        <f t="shared" si="6"/>
        <v>-91117.70999999996</v>
      </c>
      <c r="P29" s="33">
        <f t="shared" si="6"/>
        <v>135238.21999999997</v>
      </c>
      <c r="Q29" s="34">
        <f t="shared" si="5"/>
        <v>0.7095229797217352</v>
      </c>
      <c r="R29" s="62"/>
      <c r="S29" s="62"/>
      <c r="T29" s="62"/>
      <c r="U29" s="62"/>
      <c r="V29" s="62"/>
    </row>
    <row r="30" spans="1:17" ht="15">
      <c r="A30" s="35"/>
      <c r="B30" s="36"/>
      <c r="C30" s="36"/>
      <c r="D30" s="36"/>
      <c r="E30" s="36"/>
      <c r="F30" s="64"/>
      <c r="G30" s="64"/>
      <c r="H30" s="64"/>
      <c r="I30" s="37"/>
      <c r="J30" s="37"/>
      <c r="K30" s="37"/>
      <c r="L30" s="37"/>
      <c r="M30" s="36"/>
      <c r="N30" s="36"/>
      <c r="O30" s="36"/>
      <c r="P30" s="35"/>
      <c r="Q30" s="35"/>
    </row>
    <row r="31" spans="1:22" s="67" customFormat="1" ht="15">
      <c r="A31" s="65" t="s">
        <v>54</v>
      </c>
      <c r="B31" s="2"/>
      <c r="C31" s="2"/>
      <c r="D31" s="2"/>
      <c r="E31" s="2"/>
      <c r="F31" s="3"/>
      <c r="G31" s="37"/>
      <c r="H31" s="37"/>
      <c r="I31" s="37"/>
      <c r="J31" s="37"/>
      <c r="K31" s="37"/>
      <c r="L31" s="37"/>
      <c r="M31" s="2"/>
      <c r="N31" s="2"/>
      <c r="O31" s="2"/>
      <c r="P31" s="35"/>
      <c r="Q31" s="35"/>
      <c r="R31" s="35"/>
      <c r="S31" s="35"/>
      <c r="T31" s="66"/>
      <c r="U31" s="66"/>
      <c r="V31" s="66"/>
    </row>
    <row r="32" spans="1:22" s="67" customFormat="1" ht="49.5" customHeight="1">
      <c r="A32" s="68" t="s">
        <v>55</v>
      </c>
      <c r="B32" s="68" t="s">
        <v>35</v>
      </c>
      <c r="C32" s="68" t="s">
        <v>56</v>
      </c>
      <c r="D32" s="68" t="s">
        <v>57</v>
      </c>
      <c r="E32" s="128" t="s">
        <v>58</v>
      </c>
      <c r="F32" s="128"/>
      <c r="G32" s="128" t="s">
        <v>59</v>
      </c>
      <c r="H32" s="128"/>
      <c r="I32" s="129" t="s">
        <v>60</v>
      </c>
      <c r="J32" s="129"/>
      <c r="K32" s="129"/>
      <c r="L32" s="129"/>
      <c r="M32" s="129"/>
      <c r="N32" s="129"/>
      <c r="O32" s="69"/>
      <c r="P32" s="69"/>
      <c r="Q32" s="69"/>
      <c r="R32" s="69"/>
      <c r="S32" s="35"/>
      <c r="T32" s="66"/>
      <c r="U32" s="66"/>
      <c r="V32" s="66"/>
    </row>
    <row r="33" spans="1:22" s="67" customFormat="1" ht="15.75">
      <c r="A33" s="130" t="s">
        <v>61</v>
      </c>
      <c r="B33" s="131"/>
      <c r="C33" s="132"/>
      <c r="D33" s="27">
        <f>D34+D40+D44+D49+D50+D51+D52</f>
        <v>188331.05</v>
      </c>
      <c r="E33" s="133"/>
      <c r="F33" s="133"/>
      <c r="G33" s="101"/>
      <c r="H33" s="101"/>
      <c r="I33" s="134"/>
      <c r="J33" s="134"/>
      <c r="K33" s="134"/>
      <c r="L33" s="134"/>
      <c r="M33" s="134"/>
      <c r="N33" s="134"/>
      <c r="O33" s="70"/>
      <c r="P33" s="70"/>
      <c r="Q33" s="70"/>
      <c r="R33" s="70"/>
      <c r="S33" s="35"/>
      <c r="T33" s="66"/>
      <c r="U33" s="66"/>
      <c r="V33" s="66"/>
    </row>
    <row r="34" spans="1:22" s="67" customFormat="1" ht="41.25" customHeight="1">
      <c r="A34" s="117" t="s">
        <v>62</v>
      </c>
      <c r="B34" s="118"/>
      <c r="C34" s="119"/>
      <c r="D34" s="71">
        <f>SUM(D35:D39)</f>
        <v>25208</v>
      </c>
      <c r="E34" s="95"/>
      <c r="F34" s="95"/>
      <c r="G34" s="120" t="s">
        <v>63</v>
      </c>
      <c r="H34" s="121"/>
      <c r="I34" s="108" t="s">
        <v>64</v>
      </c>
      <c r="J34" s="109"/>
      <c r="K34" s="109"/>
      <c r="L34" s="109"/>
      <c r="M34" s="109"/>
      <c r="N34" s="110"/>
      <c r="O34" s="72"/>
      <c r="P34" s="72"/>
      <c r="Q34" s="72"/>
      <c r="R34" s="72"/>
      <c r="S34" s="35"/>
      <c r="T34" s="66"/>
      <c r="U34" s="66"/>
      <c r="V34" s="66"/>
    </row>
    <row r="35" spans="1:22" s="67" customFormat="1" ht="29.25" customHeight="1">
      <c r="A35" s="73" t="s">
        <v>65</v>
      </c>
      <c r="B35" s="74" t="s">
        <v>66</v>
      </c>
      <c r="C35" s="19">
        <f>32*137</f>
        <v>4384</v>
      </c>
      <c r="D35" s="19">
        <f>C35</f>
        <v>4384</v>
      </c>
      <c r="E35" s="95" t="s">
        <v>67</v>
      </c>
      <c r="F35" s="95"/>
      <c r="G35" s="122"/>
      <c r="H35" s="123"/>
      <c r="I35" s="111"/>
      <c r="J35" s="112"/>
      <c r="K35" s="112"/>
      <c r="L35" s="112"/>
      <c r="M35" s="112"/>
      <c r="N35" s="113"/>
      <c r="O35" s="72"/>
      <c r="P35" s="72"/>
      <c r="Q35" s="72"/>
      <c r="R35" s="72"/>
      <c r="S35" s="35"/>
      <c r="T35" s="66"/>
      <c r="U35" s="66"/>
      <c r="V35" s="66"/>
    </row>
    <row r="36" spans="1:22" s="67" customFormat="1" ht="30.75" customHeight="1">
      <c r="A36" s="73" t="s">
        <v>68</v>
      </c>
      <c r="B36" s="74" t="s">
        <v>66</v>
      </c>
      <c r="C36" s="19">
        <f>89*137</f>
        <v>12193</v>
      </c>
      <c r="D36" s="19">
        <f>C36</f>
        <v>12193</v>
      </c>
      <c r="E36" s="95" t="s">
        <v>69</v>
      </c>
      <c r="F36" s="95"/>
      <c r="G36" s="122"/>
      <c r="H36" s="123"/>
      <c r="I36" s="111"/>
      <c r="J36" s="112"/>
      <c r="K36" s="112"/>
      <c r="L36" s="112"/>
      <c r="M36" s="112"/>
      <c r="N36" s="113"/>
      <c r="O36" s="72"/>
      <c r="P36" s="72"/>
      <c r="Q36" s="72"/>
      <c r="R36" s="72"/>
      <c r="S36" s="35"/>
      <c r="T36" s="66"/>
      <c r="U36" s="66"/>
      <c r="V36" s="66"/>
    </row>
    <row r="37" spans="1:22" s="67" customFormat="1" ht="15.75" customHeight="1">
      <c r="A37" s="73" t="s">
        <v>70</v>
      </c>
      <c r="B37" s="74" t="s">
        <v>66</v>
      </c>
      <c r="C37" s="19">
        <f>23*137</f>
        <v>3151</v>
      </c>
      <c r="D37" s="19">
        <f>C37</f>
        <v>3151</v>
      </c>
      <c r="E37" s="95" t="s">
        <v>71</v>
      </c>
      <c r="F37" s="95"/>
      <c r="G37" s="122"/>
      <c r="H37" s="123"/>
      <c r="I37" s="111"/>
      <c r="J37" s="112"/>
      <c r="K37" s="112"/>
      <c r="L37" s="112"/>
      <c r="M37" s="112"/>
      <c r="N37" s="113"/>
      <c r="O37" s="72"/>
      <c r="P37" s="72"/>
      <c r="Q37" s="72"/>
      <c r="R37" s="72"/>
      <c r="S37" s="35"/>
      <c r="T37" s="66"/>
      <c r="U37" s="66"/>
      <c r="V37" s="66"/>
    </row>
    <row r="38" spans="1:22" s="67" customFormat="1" ht="27" customHeight="1">
      <c r="A38" s="73" t="s">
        <v>72</v>
      </c>
      <c r="B38" s="74" t="s">
        <v>66</v>
      </c>
      <c r="C38" s="19">
        <f>24*137</f>
        <v>3288</v>
      </c>
      <c r="D38" s="19">
        <f>C38</f>
        <v>3288</v>
      </c>
      <c r="E38" s="95" t="s">
        <v>69</v>
      </c>
      <c r="F38" s="95"/>
      <c r="G38" s="122"/>
      <c r="H38" s="123"/>
      <c r="I38" s="111"/>
      <c r="J38" s="112"/>
      <c r="K38" s="112"/>
      <c r="L38" s="112"/>
      <c r="M38" s="112"/>
      <c r="N38" s="113"/>
      <c r="O38" s="72"/>
      <c r="P38" s="72"/>
      <c r="Q38" s="72"/>
      <c r="R38" s="72"/>
      <c r="S38" s="35"/>
      <c r="T38" s="66"/>
      <c r="U38" s="66"/>
      <c r="V38" s="66"/>
    </row>
    <row r="39" spans="1:22" s="67" customFormat="1" ht="29.25" customHeight="1">
      <c r="A39" s="73" t="s">
        <v>73</v>
      </c>
      <c r="B39" s="74" t="s">
        <v>66</v>
      </c>
      <c r="C39" s="19">
        <f>16*137</f>
        <v>2192</v>
      </c>
      <c r="D39" s="19">
        <f>C39</f>
        <v>2192</v>
      </c>
      <c r="E39" s="95" t="s">
        <v>74</v>
      </c>
      <c r="F39" s="95"/>
      <c r="G39" s="124"/>
      <c r="H39" s="125"/>
      <c r="I39" s="114"/>
      <c r="J39" s="115"/>
      <c r="K39" s="115"/>
      <c r="L39" s="115"/>
      <c r="M39" s="115"/>
      <c r="N39" s="116"/>
      <c r="O39" s="72"/>
      <c r="P39" s="72"/>
      <c r="Q39" s="72"/>
      <c r="R39" s="72"/>
      <c r="S39" s="35"/>
      <c r="T39" s="66"/>
      <c r="U39" s="66"/>
      <c r="V39" s="66"/>
    </row>
    <row r="40" spans="1:22" s="67" customFormat="1" ht="28.5" customHeight="1">
      <c r="A40" s="103" t="s">
        <v>75</v>
      </c>
      <c r="B40" s="104"/>
      <c r="C40" s="105"/>
      <c r="D40" s="71">
        <f>SUM(D41:D43)</f>
        <v>9300</v>
      </c>
      <c r="E40" s="95"/>
      <c r="F40" s="95"/>
      <c r="G40" s="96" t="s">
        <v>63</v>
      </c>
      <c r="H40" s="96"/>
      <c r="I40" s="108" t="s">
        <v>76</v>
      </c>
      <c r="J40" s="109"/>
      <c r="K40" s="109"/>
      <c r="L40" s="109"/>
      <c r="M40" s="109"/>
      <c r="N40" s="110"/>
      <c r="O40" s="75"/>
      <c r="P40" s="75"/>
      <c r="Q40" s="75"/>
      <c r="R40" s="75"/>
      <c r="S40" s="35"/>
      <c r="T40" s="66"/>
      <c r="U40" s="66"/>
      <c r="V40" s="66"/>
    </row>
    <row r="41" spans="1:22" s="67" customFormat="1" ht="22.5" customHeight="1">
      <c r="A41" s="73" t="s">
        <v>77</v>
      </c>
      <c r="B41" s="74" t="s">
        <v>66</v>
      </c>
      <c r="C41" s="19">
        <v>3135</v>
      </c>
      <c r="D41" s="19">
        <f>C41</f>
        <v>3135</v>
      </c>
      <c r="E41" s="95" t="s">
        <v>78</v>
      </c>
      <c r="F41" s="95"/>
      <c r="G41" s="96"/>
      <c r="H41" s="96"/>
      <c r="I41" s="111"/>
      <c r="J41" s="112"/>
      <c r="K41" s="112"/>
      <c r="L41" s="112"/>
      <c r="M41" s="112"/>
      <c r="N41" s="113"/>
      <c r="O41" s="76"/>
      <c r="P41" s="76"/>
      <c r="Q41" s="76"/>
      <c r="R41" s="76"/>
      <c r="S41" s="35"/>
      <c r="T41" s="66"/>
      <c r="U41" s="66"/>
      <c r="V41" s="66"/>
    </row>
    <row r="42" spans="1:22" s="67" customFormat="1" ht="30.75" customHeight="1">
      <c r="A42" s="73" t="s">
        <v>79</v>
      </c>
      <c r="B42" s="74" t="s">
        <v>66</v>
      </c>
      <c r="C42" s="19">
        <f>37*137</f>
        <v>5069</v>
      </c>
      <c r="D42" s="19">
        <f>C42</f>
        <v>5069</v>
      </c>
      <c r="E42" s="95" t="s">
        <v>71</v>
      </c>
      <c r="F42" s="95"/>
      <c r="G42" s="96"/>
      <c r="H42" s="96"/>
      <c r="I42" s="111"/>
      <c r="J42" s="112"/>
      <c r="K42" s="112"/>
      <c r="L42" s="112"/>
      <c r="M42" s="112"/>
      <c r="N42" s="113"/>
      <c r="O42" s="76"/>
      <c r="P42" s="76"/>
      <c r="Q42" s="76"/>
      <c r="R42" s="76"/>
      <c r="S42" s="35"/>
      <c r="T42" s="66"/>
      <c r="U42" s="66"/>
      <c r="V42" s="66"/>
    </row>
    <row r="43" spans="1:22" s="67" customFormat="1" ht="31.5" customHeight="1">
      <c r="A43" s="73" t="s">
        <v>80</v>
      </c>
      <c r="B43" s="74" t="s">
        <v>66</v>
      </c>
      <c r="C43" s="19">
        <f>8*137</f>
        <v>1096</v>
      </c>
      <c r="D43" s="19">
        <f>C43</f>
        <v>1096</v>
      </c>
      <c r="E43" s="95" t="s">
        <v>71</v>
      </c>
      <c r="F43" s="95"/>
      <c r="G43" s="96"/>
      <c r="H43" s="96"/>
      <c r="I43" s="114"/>
      <c r="J43" s="115"/>
      <c r="K43" s="115"/>
      <c r="L43" s="115"/>
      <c r="M43" s="115"/>
      <c r="N43" s="116"/>
      <c r="O43" s="76"/>
      <c r="P43" s="76"/>
      <c r="Q43" s="76"/>
      <c r="R43" s="76"/>
      <c r="S43" s="35"/>
      <c r="T43" s="66"/>
      <c r="U43" s="66"/>
      <c r="V43" s="66"/>
    </row>
    <row r="44" spans="1:22" s="67" customFormat="1" ht="45" customHeight="1">
      <c r="A44" s="103" t="s">
        <v>81</v>
      </c>
      <c r="B44" s="104"/>
      <c r="C44" s="105"/>
      <c r="D44" s="71">
        <f>SUM(D45:D48)</f>
        <v>21201.71</v>
      </c>
      <c r="E44" s="106"/>
      <c r="F44" s="107"/>
      <c r="G44" s="96" t="s">
        <v>63</v>
      </c>
      <c r="H44" s="96"/>
      <c r="I44" s="108" t="s">
        <v>82</v>
      </c>
      <c r="J44" s="109"/>
      <c r="K44" s="109"/>
      <c r="L44" s="109"/>
      <c r="M44" s="109"/>
      <c r="N44" s="110"/>
      <c r="O44" s="76"/>
      <c r="P44" s="76"/>
      <c r="Q44" s="76"/>
      <c r="R44" s="76"/>
      <c r="S44" s="35"/>
      <c r="T44" s="66"/>
      <c r="U44" s="66"/>
      <c r="V44" s="66"/>
    </row>
    <row r="45" spans="1:22" s="67" customFormat="1" ht="19.5" customHeight="1">
      <c r="A45" s="73" t="s">
        <v>83</v>
      </c>
      <c r="B45" s="74" t="s">
        <v>66</v>
      </c>
      <c r="C45" s="19">
        <v>1747.71</v>
      </c>
      <c r="D45" s="19">
        <f aca="true" t="shared" si="7" ref="D45:D51">C45</f>
        <v>1747.71</v>
      </c>
      <c r="E45" s="106" t="s">
        <v>84</v>
      </c>
      <c r="F45" s="107"/>
      <c r="G45" s="96"/>
      <c r="H45" s="96"/>
      <c r="I45" s="111"/>
      <c r="J45" s="112"/>
      <c r="K45" s="112"/>
      <c r="L45" s="112"/>
      <c r="M45" s="112"/>
      <c r="N45" s="113"/>
      <c r="O45" s="76"/>
      <c r="P45" s="76"/>
      <c r="Q45" s="76"/>
      <c r="R45" s="76"/>
      <c r="S45" s="35"/>
      <c r="T45" s="66"/>
      <c r="U45" s="66"/>
      <c r="V45" s="66"/>
    </row>
    <row r="46" spans="1:22" s="67" customFormat="1" ht="19.5" customHeight="1">
      <c r="A46" s="73" t="s">
        <v>85</v>
      </c>
      <c r="B46" s="74" t="s">
        <v>66</v>
      </c>
      <c r="C46" s="19">
        <f>30*137</f>
        <v>4110</v>
      </c>
      <c r="D46" s="19">
        <f t="shared" si="7"/>
        <v>4110</v>
      </c>
      <c r="E46" s="106" t="s">
        <v>69</v>
      </c>
      <c r="F46" s="107"/>
      <c r="G46" s="96"/>
      <c r="H46" s="96"/>
      <c r="I46" s="111"/>
      <c r="J46" s="112"/>
      <c r="K46" s="112"/>
      <c r="L46" s="112"/>
      <c r="M46" s="112"/>
      <c r="N46" s="113"/>
      <c r="O46" s="76"/>
      <c r="P46" s="76"/>
      <c r="Q46" s="76"/>
      <c r="R46" s="76"/>
      <c r="S46" s="35"/>
      <c r="T46" s="66"/>
      <c r="U46" s="66"/>
      <c r="V46" s="66"/>
    </row>
    <row r="47" spans="1:22" s="67" customFormat="1" ht="19.5" customHeight="1">
      <c r="A47" s="73" t="s">
        <v>120</v>
      </c>
      <c r="B47" s="74" t="s">
        <v>66</v>
      </c>
      <c r="C47" s="19">
        <f>72*137</f>
        <v>9864</v>
      </c>
      <c r="D47" s="19">
        <f t="shared" si="7"/>
        <v>9864</v>
      </c>
      <c r="E47" s="106" t="s">
        <v>69</v>
      </c>
      <c r="F47" s="107"/>
      <c r="G47" s="96"/>
      <c r="H47" s="96"/>
      <c r="I47" s="111"/>
      <c r="J47" s="112"/>
      <c r="K47" s="112"/>
      <c r="L47" s="112"/>
      <c r="M47" s="112"/>
      <c r="N47" s="113"/>
      <c r="O47" s="76"/>
      <c r="P47" s="76"/>
      <c r="Q47" s="76"/>
      <c r="R47" s="76"/>
      <c r="S47" s="35"/>
      <c r="T47" s="66"/>
      <c r="U47" s="66"/>
      <c r="V47" s="66"/>
    </row>
    <row r="48" spans="1:22" s="67" customFormat="1" ht="32.25" customHeight="1">
      <c r="A48" s="73" t="s">
        <v>86</v>
      </c>
      <c r="B48" s="74" t="s">
        <v>66</v>
      </c>
      <c r="C48" s="19">
        <f>40*137</f>
        <v>5480</v>
      </c>
      <c r="D48" s="19">
        <f t="shared" si="7"/>
        <v>5480</v>
      </c>
      <c r="E48" s="106" t="s">
        <v>69</v>
      </c>
      <c r="F48" s="107"/>
      <c r="G48" s="96"/>
      <c r="H48" s="96"/>
      <c r="I48" s="114"/>
      <c r="J48" s="115"/>
      <c r="K48" s="115"/>
      <c r="L48" s="115"/>
      <c r="M48" s="115"/>
      <c r="N48" s="116"/>
      <c r="O48" s="76"/>
      <c r="P48" s="76"/>
      <c r="Q48" s="76"/>
      <c r="R48" s="76"/>
      <c r="S48" s="35"/>
      <c r="T48" s="66"/>
      <c r="U48" s="66"/>
      <c r="V48" s="66"/>
    </row>
    <row r="49" spans="1:22" s="67" customFormat="1" ht="18.75" customHeight="1">
      <c r="A49" s="77" t="s">
        <v>87</v>
      </c>
      <c r="B49" s="74" t="s">
        <v>66</v>
      </c>
      <c r="C49" s="19">
        <f>E16</f>
        <v>24778.73</v>
      </c>
      <c r="D49" s="71">
        <f t="shared" si="7"/>
        <v>24778.73</v>
      </c>
      <c r="E49" s="95" t="s">
        <v>88</v>
      </c>
      <c r="F49" s="95"/>
      <c r="G49" s="98" t="s">
        <v>63</v>
      </c>
      <c r="H49" s="98"/>
      <c r="I49" s="99" t="s">
        <v>87</v>
      </c>
      <c r="J49" s="99"/>
      <c r="K49" s="99"/>
      <c r="L49" s="99"/>
      <c r="M49" s="99"/>
      <c r="N49" s="99"/>
      <c r="O49" s="78"/>
      <c r="P49" s="78"/>
      <c r="Q49" s="78"/>
      <c r="R49" s="78"/>
      <c r="S49" s="35"/>
      <c r="T49" s="66"/>
      <c r="U49" s="66"/>
      <c r="V49" s="66"/>
    </row>
    <row r="50" spans="1:22" s="67" customFormat="1" ht="30.75" customHeight="1">
      <c r="A50" s="77" t="s">
        <v>89</v>
      </c>
      <c r="B50" s="74" t="s">
        <v>66</v>
      </c>
      <c r="C50" s="19">
        <f>E17</f>
        <v>22165.37</v>
      </c>
      <c r="D50" s="71">
        <f t="shared" si="7"/>
        <v>22165.37</v>
      </c>
      <c r="E50" s="95" t="s">
        <v>90</v>
      </c>
      <c r="F50" s="95"/>
      <c r="G50" s="96" t="s">
        <v>91</v>
      </c>
      <c r="H50" s="96"/>
      <c r="I50" s="102" t="s">
        <v>89</v>
      </c>
      <c r="J50" s="102"/>
      <c r="K50" s="102"/>
      <c r="L50" s="102"/>
      <c r="M50" s="102"/>
      <c r="N50" s="102"/>
      <c r="O50" s="75"/>
      <c r="P50" s="75"/>
      <c r="Q50" s="75"/>
      <c r="R50" s="75"/>
      <c r="S50" s="35"/>
      <c r="T50" s="66"/>
      <c r="U50" s="66"/>
      <c r="V50" s="66"/>
    </row>
    <row r="51" spans="1:22" s="67" customFormat="1" ht="17.25" customHeight="1">
      <c r="A51" s="77" t="s">
        <v>92</v>
      </c>
      <c r="B51" s="74" t="s">
        <v>66</v>
      </c>
      <c r="C51" s="19">
        <f>E18</f>
        <v>40604.24</v>
      </c>
      <c r="D51" s="71">
        <f t="shared" si="7"/>
        <v>40604.24</v>
      </c>
      <c r="E51" s="95" t="s">
        <v>88</v>
      </c>
      <c r="F51" s="95"/>
      <c r="G51" s="98" t="s">
        <v>63</v>
      </c>
      <c r="H51" s="98"/>
      <c r="I51" s="99" t="s">
        <v>92</v>
      </c>
      <c r="J51" s="99"/>
      <c r="K51" s="99"/>
      <c r="L51" s="99"/>
      <c r="M51" s="99"/>
      <c r="N51" s="99"/>
      <c r="O51" s="78"/>
      <c r="P51" s="78"/>
      <c r="Q51" s="78"/>
      <c r="R51" s="78"/>
      <c r="S51" s="35"/>
      <c r="T51" s="66"/>
      <c r="U51" s="66"/>
      <c r="V51" s="66"/>
    </row>
    <row r="52" spans="1:22" s="83" customFormat="1" ht="15">
      <c r="A52" s="79" t="s">
        <v>93</v>
      </c>
      <c r="B52" s="74"/>
      <c r="C52" s="27"/>
      <c r="D52" s="71">
        <f>SUM(D53:D56)</f>
        <v>45073</v>
      </c>
      <c r="E52" s="100"/>
      <c r="F52" s="100"/>
      <c r="G52" s="101"/>
      <c r="H52" s="101"/>
      <c r="I52" s="80"/>
      <c r="J52" s="80"/>
      <c r="K52" s="80"/>
      <c r="L52" s="80"/>
      <c r="M52" s="2"/>
      <c r="N52" s="2"/>
      <c r="O52" s="2"/>
      <c r="P52" s="81"/>
      <c r="Q52" s="81"/>
      <c r="R52" s="81"/>
      <c r="S52" s="81"/>
      <c r="T52" s="82"/>
      <c r="U52" s="82"/>
      <c r="V52" s="82"/>
    </row>
    <row r="53" spans="1:22" s="83" customFormat="1" ht="21.75" customHeight="1">
      <c r="A53" s="84" t="s">
        <v>94</v>
      </c>
      <c r="B53" s="74" t="s">
        <v>66</v>
      </c>
      <c r="C53" s="19">
        <f>24*137</f>
        <v>3288</v>
      </c>
      <c r="D53" s="19">
        <f>C53</f>
        <v>3288</v>
      </c>
      <c r="E53" s="95" t="s">
        <v>78</v>
      </c>
      <c r="F53" s="95"/>
      <c r="G53" s="96" t="s">
        <v>63</v>
      </c>
      <c r="H53" s="96"/>
      <c r="I53" s="80"/>
      <c r="J53" s="80"/>
      <c r="K53" s="80"/>
      <c r="L53" s="80"/>
      <c r="M53" s="2"/>
      <c r="N53" s="2"/>
      <c r="O53" s="2"/>
      <c r="P53" s="81"/>
      <c r="Q53" s="81"/>
      <c r="R53" s="81"/>
      <c r="S53" s="81"/>
      <c r="T53" s="82"/>
      <c r="U53" s="82"/>
      <c r="V53" s="82"/>
    </row>
    <row r="54" spans="1:22" s="83" customFormat="1" ht="21.75" customHeight="1">
      <c r="A54" s="84" t="s">
        <v>95</v>
      </c>
      <c r="B54" s="74" t="s">
        <v>66</v>
      </c>
      <c r="C54" s="19">
        <f>185*137</f>
        <v>25345</v>
      </c>
      <c r="D54" s="19">
        <f>C54</f>
        <v>25345</v>
      </c>
      <c r="E54" s="95" t="s">
        <v>96</v>
      </c>
      <c r="F54" s="95"/>
      <c r="G54" s="96" t="s">
        <v>63</v>
      </c>
      <c r="H54" s="96"/>
      <c r="I54" s="80"/>
      <c r="J54" s="80"/>
      <c r="K54" s="80"/>
      <c r="L54" s="80"/>
      <c r="M54" s="2"/>
      <c r="N54" s="2"/>
      <c r="O54" s="2"/>
      <c r="P54" s="81"/>
      <c r="Q54" s="81"/>
      <c r="R54" s="81"/>
      <c r="S54" s="81"/>
      <c r="T54" s="82"/>
      <c r="U54" s="82"/>
      <c r="V54" s="82"/>
    </row>
    <row r="55" spans="1:22" s="83" customFormat="1" ht="21.75" customHeight="1">
      <c r="A55" s="84" t="s">
        <v>121</v>
      </c>
      <c r="B55" s="74" t="s">
        <v>66</v>
      </c>
      <c r="C55" s="19">
        <f>72*137</f>
        <v>9864</v>
      </c>
      <c r="D55" s="19">
        <f>C55</f>
        <v>9864</v>
      </c>
      <c r="E55" s="144" t="s">
        <v>122</v>
      </c>
      <c r="F55" s="144"/>
      <c r="G55" s="96" t="s">
        <v>63</v>
      </c>
      <c r="H55" s="96"/>
      <c r="I55" s="80"/>
      <c r="J55" s="80"/>
      <c r="K55" s="80"/>
      <c r="L55" s="80"/>
      <c r="M55" s="2"/>
      <c r="N55" s="2"/>
      <c r="O55" s="2"/>
      <c r="P55" s="81"/>
      <c r="Q55" s="81"/>
      <c r="R55" s="81"/>
      <c r="S55" s="81"/>
      <c r="T55" s="82"/>
      <c r="U55" s="82"/>
      <c r="V55" s="82"/>
    </row>
    <row r="56" spans="1:22" s="83" customFormat="1" ht="21.75" customHeight="1">
      <c r="A56" s="84" t="s">
        <v>123</v>
      </c>
      <c r="B56" s="74" t="s">
        <v>66</v>
      </c>
      <c r="C56" s="19">
        <f>48*137</f>
        <v>6576</v>
      </c>
      <c r="D56" s="19">
        <f>C56</f>
        <v>6576</v>
      </c>
      <c r="E56" s="95" t="s">
        <v>98</v>
      </c>
      <c r="F56" s="95"/>
      <c r="G56" s="96" t="s">
        <v>63</v>
      </c>
      <c r="H56" s="96"/>
      <c r="I56" s="80"/>
      <c r="J56" s="80"/>
      <c r="K56" s="80"/>
      <c r="L56" s="80"/>
      <c r="M56" s="2"/>
      <c r="N56" s="2"/>
      <c r="O56" s="2"/>
      <c r="P56" s="81"/>
      <c r="Q56" s="81"/>
      <c r="R56" s="81"/>
      <c r="S56" s="81"/>
      <c r="T56" s="82"/>
      <c r="U56" s="82"/>
      <c r="V56" s="82"/>
    </row>
    <row r="58" ht="15.75">
      <c r="A58" s="1" t="s">
        <v>99</v>
      </c>
    </row>
    <row r="59" spans="5:7" ht="15">
      <c r="E59" s="85" t="s">
        <v>100</v>
      </c>
      <c r="F59" s="85" t="s">
        <v>101</v>
      </c>
      <c r="G59" s="86" t="s">
        <v>102</v>
      </c>
    </row>
    <row r="60" spans="1:17" ht="32.25" customHeight="1">
      <c r="A60" s="93" t="s">
        <v>103</v>
      </c>
      <c r="B60" s="93"/>
      <c r="C60" s="93"/>
      <c r="D60" s="74" t="s">
        <v>104</v>
      </c>
      <c r="E60" s="74">
        <v>5</v>
      </c>
      <c r="F60" s="74">
        <v>1</v>
      </c>
      <c r="G60" s="97" t="s">
        <v>105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28.5" customHeight="1">
      <c r="A61" s="93" t="s">
        <v>106</v>
      </c>
      <c r="B61" s="93"/>
      <c r="C61" s="93"/>
      <c r="D61" s="74" t="s">
        <v>104</v>
      </c>
      <c r="E61" s="74">
        <v>5</v>
      </c>
      <c r="F61" s="74">
        <v>1</v>
      </c>
      <c r="G61" s="94" t="s">
        <v>107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32.25" customHeight="1">
      <c r="A62" s="93" t="s">
        <v>108</v>
      </c>
      <c r="B62" s="93"/>
      <c r="C62" s="93"/>
      <c r="D62" s="74" t="s">
        <v>104</v>
      </c>
      <c r="E62" s="74">
        <v>0</v>
      </c>
      <c r="F62" s="74">
        <v>0</v>
      </c>
      <c r="G62" s="92" t="s">
        <v>124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33.75" customHeight="1">
      <c r="A63" s="93" t="s">
        <v>110</v>
      </c>
      <c r="B63" s="93"/>
      <c r="C63" s="93"/>
      <c r="D63" s="74" t="s">
        <v>111</v>
      </c>
      <c r="E63" s="19">
        <v>0</v>
      </c>
      <c r="F63" s="19">
        <v>0</v>
      </c>
      <c r="G63" s="92" t="s">
        <v>125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7:17" ht="15"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22" s="2" customFormat="1" ht="15.75">
      <c r="A65" s="1" t="s">
        <v>112</v>
      </c>
      <c r="F65" s="3"/>
      <c r="G65" s="3"/>
      <c r="H65" s="3"/>
      <c r="I65" s="3"/>
      <c r="J65" s="3"/>
      <c r="K65" s="3"/>
      <c r="L65" s="3"/>
      <c r="P65" s="4"/>
      <c r="Q65" s="4"/>
      <c r="R65" s="5"/>
      <c r="S65" s="5"/>
      <c r="T65" s="5"/>
      <c r="U65" s="5"/>
      <c r="V65" s="5"/>
    </row>
    <row r="66" spans="1:22" s="2" customFormat="1" ht="34.5" customHeight="1">
      <c r="A66" s="93" t="s">
        <v>113</v>
      </c>
      <c r="B66" s="93"/>
      <c r="C66" s="93"/>
      <c r="D66" s="74" t="s">
        <v>104</v>
      </c>
      <c r="E66" s="74">
        <v>15</v>
      </c>
      <c r="F66" s="3"/>
      <c r="G66" s="3"/>
      <c r="H66" s="3"/>
      <c r="I66" s="3"/>
      <c r="J66" s="3"/>
      <c r="K66" s="3"/>
      <c r="L66" s="3"/>
      <c r="P66" s="4"/>
      <c r="Q66" s="4"/>
      <c r="R66" s="5"/>
      <c r="S66" s="5"/>
      <c r="T66" s="5"/>
      <c r="U66" s="5"/>
      <c r="V66" s="5"/>
    </row>
    <row r="67" spans="1:22" s="2" customFormat="1" ht="26.25" customHeight="1">
      <c r="A67" s="93" t="s">
        <v>114</v>
      </c>
      <c r="B67" s="93"/>
      <c r="C67" s="93"/>
      <c r="D67" s="74" t="s">
        <v>104</v>
      </c>
      <c r="E67" s="74">
        <v>5</v>
      </c>
      <c r="F67" s="3"/>
      <c r="G67" s="3"/>
      <c r="H67" s="3"/>
      <c r="I67" s="3"/>
      <c r="J67" s="3"/>
      <c r="K67" s="3"/>
      <c r="L67" s="3"/>
      <c r="P67" s="4"/>
      <c r="Q67" s="4"/>
      <c r="R67" s="5"/>
      <c r="S67" s="5"/>
      <c r="T67" s="5"/>
      <c r="U67" s="5"/>
      <c r="V67" s="5"/>
    </row>
    <row r="68" spans="1:22" s="2" customFormat="1" ht="42.75" customHeight="1">
      <c r="A68" s="93" t="s">
        <v>115</v>
      </c>
      <c r="B68" s="93"/>
      <c r="C68" s="93"/>
      <c r="D68" s="74" t="s">
        <v>111</v>
      </c>
      <c r="E68" s="19">
        <f>3773.22+34500</f>
        <v>38273.22</v>
      </c>
      <c r="F68" s="3"/>
      <c r="G68" s="3"/>
      <c r="H68" s="3"/>
      <c r="I68" s="3"/>
      <c r="J68" s="3"/>
      <c r="K68" s="3"/>
      <c r="L68" s="3"/>
      <c r="P68" s="4"/>
      <c r="Q68" s="4"/>
      <c r="R68" s="5"/>
      <c r="S68" s="5"/>
      <c r="T68" s="5"/>
      <c r="U68" s="5"/>
      <c r="V68" s="5"/>
    </row>
    <row r="72" spans="1:2" ht="15">
      <c r="A72" s="4" t="s">
        <v>116</v>
      </c>
      <c r="B72" s="6" t="s">
        <v>117</v>
      </c>
    </row>
  </sheetData>
  <sheetProtection/>
  <mergeCells count="75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6"/>
    <mergeCell ref="I27:I28"/>
    <mergeCell ref="E32:F32"/>
    <mergeCell ref="G32:H32"/>
    <mergeCell ref="I32:N32"/>
    <mergeCell ref="A33:C33"/>
    <mergeCell ref="E33:F33"/>
    <mergeCell ref="G33:H33"/>
    <mergeCell ref="I33:N33"/>
    <mergeCell ref="A34:C34"/>
    <mergeCell ref="E34:F34"/>
    <mergeCell ref="G34:H39"/>
    <mergeCell ref="I34:N39"/>
    <mergeCell ref="E35:F35"/>
    <mergeCell ref="E36:F36"/>
    <mergeCell ref="E37:F37"/>
    <mergeCell ref="E38:F38"/>
    <mergeCell ref="E39:F39"/>
    <mergeCell ref="A40:C40"/>
    <mergeCell ref="E40:F40"/>
    <mergeCell ref="G40:H43"/>
    <mergeCell ref="I40:N43"/>
    <mergeCell ref="E41:F41"/>
    <mergeCell ref="E42:F42"/>
    <mergeCell ref="E43:F43"/>
    <mergeCell ref="A44:C44"/>
    <mergeCell ref="E44:F44"/>
    <mergeCell ref="G44:H48"/>
    <mergeCell ref="I44:N48"/>
    <mergeCell ref="E45:F45"/>
    <mergeCell ref="E46:F46"/>
    <mergeCell ref="E47:F47"/>
    <mergeCell ref="E48:F48"/>
    <mergeCell ref="E49:F49"/>
    <mergeCell ref="G49:H49"/>
    <mergeCell ref="I49:N49"/>
    <mergeCell ref="E50:F50"/>
    <mergeCell ref="G50:H50"/>
    <mergeCell ref="I50:N50"/>
    <mergeCell ref="E51:F51"/>
    <mergeCell ref="G51:H51"/>
    <mergeCell ref="I51:N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60:C60"/>
    <mergeCell ref="G60:Q60"/>
    <mergeCell ref="A61:C61"/>
    <mergeCell ref="G61:Q61"/>
    <mergeCell ref="A62:C62"/>
    <mergeCell ref="G62:Q62"/>
    <mergeCell ref="A63:C63"/>
    <mergeCell ref="G63:Q63"/>
    <mergeCell ref="G64:Q64"/>
    <mergeCell ref="A66:C66"/>
    <mergeCell ref="A67:C67"/>
    <mergeCell ref="A68:C68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86" zoomScaleNormal="86" zoomScalePageLayoutView="0" workbookViewId="0" topLeftCell="A1">
      <selection activeCell="K13" sqref="K13:K19"/>
    </sheetView>
  </sheetViews>
  <sheetFormatPr defaultColWidth="9.140625" defaultRowHeight="15"/>
  <cols>
    <col min="1" max="1" width="47.421875" style="4" customWidth="1"/>
    <col min="2" max="2" width="12.0039062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4.00390625" style="3" customWidth="1"/>
    <col min="8" max="8" width="14.14062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57421875" style="4" customWidth="1"/>
    <col min="17" max="17" width="8.2812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126</v>
      </c>
    </row>
    <row r="5" ht="15">
      <c r="A5" s="4" t="s">
        <v>3</v>
      </c>
    </row>
    <row r="6" ht="15">
      <c r="A6" s="4" t="s">
        <v>4</v>
      </c>
    </row>
    <row r="7" ht="15">
      <c r="A7" s="4" t="s">
        <v>127</v>
      </c>
    </row>
    <row r="8" ht="15">
      <c r="A8" s="4" t="s">
        <v>6</v>
      </c>
    </row>
    <row r="9" ht="15.75" thickBot="1"/>
    <row r="10" spans="1:22" s="8" customFormat="1" ht="15.75" customHeight="1">
      <c r="A10" s="139" t="s">
        <v>7</v>
      </c>
      <c r="B10" s="142" t="s">
        <v>8</v>
      </c>
      <c r="C10" s="135" t="s">
        <v>9</v>
      </c>
      <c r="D10" s="135" t="s">
        <v>10</v>
      </c>
      <c r="E10" s="135" t="s">
        <v>11</v>
      </c>
      <c r="F10" s="135" t="s">
        <v>12</v>
      </c>
      <c r="G10" s="135"/>
      <c r="H10" s="135"/>
      <c r="I10" s="135"/>
      <c r="J10" s="135"/>
      <c r="K10" s="135"/>
      <c r="L10" s="135" t="s">
        <v>13</v>
      </c>
      <c r="M10" s="135" t="s">
        <v>14</v>
      </c>
      <c r="N10" s="135" t="s">
        <v>15</v>
      </c>
      <c r="O10" s="137" t="s">
        <v>16</v>
      </c>
      <c r="P10" s="139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40"/>
      <c r="B11" s="143"/>
      <c r="C11" s="136"/>
      <c r="D11" s="136"/>
      <c r="E11" s="136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6"/>
      <c r="M11" s="136"/>
      <c r="N11" s="136"/>
      <c r="O11" s="138"/>
      <c r="P11" s="140"/>
      <c r="Q11" s="7"/>
      <c r="R11" s="7"/>
      <c r="S11" s="7"/>
      <c r="T11" s="7"/>
      <c r="U11" s="7"/>
      <c r="V11" s="7"/>
    </row>
    <row r="12" spans="1:22" s="16" customFormat="1" ht="15.75" customHeight="1">
      <c r="A12" s="10" t="s">
        <v>24</v>
      </c>
      <c r="B12" s="11">
        <f>SUM(B13:B19)</f>
        <v>0</v>
      </c>
      <c r="C12" s="12">
        <f>SUM(C13:C19)</f>
        <v>-614.28</v>
      </c>
      <c r="D12" s="12">
        <f>SUM(D13:D19)</f>
        <v>9679.99</v>
      </c>
      <c r="E12" s="12">
        <f>SUM(E13:E19)</f>
        <v>184780.8</v>
      </c>
      <c r="F12" s="12">
        <f>SUM(F13:F19)</f>
        <v>153645.62</v>
      </c>
      <c r="G12" s="12">
        <v>0</v>
      </c>
      <c r="H12" s="12">
        <v>0</v>
      </c>
      <c r="I12" s="12">
        <v>0</v>
      </c>
      <c r="J12" s="12">
        <v>0</v>
      </c>
      <c r="K12" s="12">
        <f>SUM(K13:K19)</f>
        <v>153031.34000000003</v>
      </c>
      <c r="L12" s="12">
        <f>SUM(L13:L19)</f>
        <v>212010.90999999997</v>
      </c>
      <c r="M12" s="12">
        <f>SUM(M13:M19)</f>
        <v>0</v>
      </c>
      <c r="N12" s="12">
        <f>SUM(N13:N19)</f>
        <v>-58979.56999999999</v>
      </c>
      <c r="O12" s="13">
        <f>SUM(O13:O19)</f>
        <v>40815.170000000006</v>
      </c>
      <c r="P12" s="14">
        <f aca="true" t="shared" si="0" ref="P12:P21">F12/(D12+E12)</f>
        <v>0.7901110552929462</v>
      </c>
      <c r="Q12" s="15"/>
      <c r="R12" s="15"/>
      <c r="S12" s="15"/>
      <c r="T12" s="15"/>
      <c r="U12" s="15"/>
      <c r="V12" s="15"/>
    </row>
    <row r="13" spans="1:22" s="23" customFormat="1" ht="59.25" customHeight="1">
      <c r="A13" s="17" t="s">
        <v>25</v>
      </c>
      <c r="B13" s="18">
        <v>0</v>
      </c>
      <c r="C13" s="19">
        <v>1970.79</v>
      </c>
      <c r="D13" s="19">
        <v>648.22</v>
      </c>
      <c r="E13" s="19">
        <v>25297.16</v>
      </c>
      <c r="F13" s="19">
        <v>21034.41</v>
      </c>
      <c r="G13" s="19">
        <v>0</v>
      </c>
      <c r="H13" s="19">
        <v>0</v>
      </c>
      <c r="I13" s="19">
        <v>0</v>
      </c>
      <c r="J13" s="19">
        <v>0</v>
      </c>
      <c r="K13" s="19">
        <f>F13+G13+H13+I13+J13+C13</f>
        <v>23005.2</v>
      </c>
      <c r="L13" s="19">
        <f>D34</f>
        <v>25208</v>
      </c>
      <c r="M13" s="19">
        <v>0</v>
      </c>
      <c r="N13" s="19">
        <f>K13-L13</f>
        <v>-2202.7999999999993</v>
      </c>
      <c r="O13" s="20">
        <f>D13+E13-F13</f>
        <v>4910.970000000001</v>
      </c>
      <c r="P13" s="21">
        <f t="shared" si="0"/>
        <v>0.8107189025560619</v>
      </c>
      <c r="Q13" s="22"/>
      <c r="R13" s="22"/>
      <c r="S13" s="22"/>
      <c r="T13" s="22"/>
      <c r="U13" s="22"/>
      <c r="V13" s="22"/>
    </row>
    <row r="14" spans="1:22" s="23" customFormat="1" ht="29.25" customHeight="1">
      <c r="A14" s="17" t="s">
        <v>26</v>
      </c>
      <c r="B14" s="18">
        <v>0</v>
      </c>
      <c r="C14" s="19">
        <v>565.39</v>
      </c>
      <c r="D14" s="19">
        <v>185.97</v>
      </c>
      <c r="E14" s="19">
        <v>7269.3</v>
      </c>
      <c r="F14" s="19">
        <v>6044.51</v>
      </c>
      <c r="G14" s="19">
        <v>0</v>
      </c>
      <c r="H14" s="19">
        <v>0</v>
      </c>
      <c r="I14" s="19">
        <v>0</v>
      </c>
      <c r="J14" s="19">
        <v>0</v>
      </c>
      <c r="K14" s="19">
        <f aca="true" t="shared" si="1" ref="K14:K20">F14+G14+H14+I14+J14+C14</f>
        <v>6609.900000000001</v>
      </c>
      <c r="L14" s="19">
        <f>D40</f>
        <v>9300</v>
      </c>
      <c r="M14" s="19">
        <v>0</v>
      </c>
      <c r="N14" s="19">
        <f aca="true" t="shared" si="2" ref="N14:N20">K14-L14</f>
        <v>-2690.0999999999995</v>
      </c>
      <c r="O14" s="20">
        <f aca="true" t="shared" si="3" ref="O14:O19">D14+E14-F14</f>
        <v>1410.7600000000002</v>
      </c>
      <c r="P14" s="21">
        <f t="shared" si="0"/>
        <v>0.8107700995403252</v>
      </c>
      <c r="Q14" s="22"/>
      <c r="R14" s="22"/>
      <c r="S14" s="22"/>
      <c r="T14" s="22"/>
      <c r="U14" s="22"/>
      <c r="V14" s="22"/>
    </row>
    <row r="15" spans="1:22" s="23" customFormat="1" ht="59.25" customHeight="1">
      <c r="A15" s="17" t="s">
        <v>27</v>
      </c>
      <c r="B15" s="18">
        <v>0</v>
      </c>
      <c r="C15" s="19">
        <v>-318.58</v>
      </c>
      <c r="D15" s="19">
        <v>499.45</v>
      </c>
      <c r="E15" s="19">
        <v>19481.72</v>
      </c>
      <c r="F15" s="19">
        <v>16198.8</v>
      </c>
      <c r="G15" s="19">
        <v>0</v>
      </c>
      <c r="H15" s="19">
        <v>0</v>
      </c>
      <c r="I15" s="19">
        <v>0</v>
      </c>
      <c r="J15" s="19">
        <v>0</v>
      </c>
      <c r="K15" s="19">
        <f t="shared" si="1"/>
        <v>15880.22</v>
      </c>
      <c r="L15" s="19">
        <f>D44</f>
        <v>20927.71</v>
      </c>
      <c r="M15" s="19">
        <v>0</v>
      </c>
      <c r="N15" s="19">
        <f t="shared" si="2"/>
        <v>-5047.49</v>
      </c>
      <c r="O15" s="20">
        <f t="shared" si="3"/>
        <v>3782.3700000000026</v>
      </c>
      <c r="P15" s="21">
        <f t="shared" si="0"/>
        <v>0.8107032771354229</v>
      </c>
      <c r="Q15" s="22"/>
      <c r="R15" s="22"/>
      <c r="S15" s="22"/>
      <c r="T15" s="22"/>
      <c r="U15" s="22"/>
      <c r="V15" s="22"/>
    </row>
    <row r="16" spans="1:22" s="23" customFormat="1" ht="18.75" customHeight="1">
      <c r="A16" s="17" t="s">
        <v>28</v>
      </c>
      <c r="B16" s="18">
        <v>0</v>
      </c>
      <c r="C16" s="19">
        <v>1912.6</v>
      </c>
      <c r="D16" s="19">
        <v>629.08</v>
      </c>
      <c r="E16" s="19">
        <v>24759.28</v>
      </c>
      <c r="F16" s="19">
        <v>20588.3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22500.899999999998</v>
      </c>
      <c r="L16" s="19">
        <f>D48</f>
        <v>24759.28</v>
      </c>
      <c r="M16" s="19">
        <v>0</v>
      </c>
      <c r="N16" s="19">
        <f t="shared" si="2"/>
        <v>-2258.380000000001</v>
      </c>
      <c r="O16" s="20">
        <f t="shared" si="3"/>
        <v>4800.060000000001</v>
      </c>
      <c r="P16" s="21">
        <f t="shared" si="0"/>
        <v>0.8109346172813052</v>
      </c>
      <c r="Q16" s="22"/>
      <c r="R16" s="22"/>
      <c r="S16" s="22"/>
      <c r="T16" s="22"/>
      <c r="U16" s="22"/>
      <c r="V16" s="22"/>
    </row>
    <row r="17" spans="1:22" s="23" customFormat="1" ht="28.5" customHeight="1">
      <c r="A17" s="17" t="s">
        <v>29</v>
      </c>
      <c r="B17" s="18">
        <v>0</v>
      </c>
      <c r="C17" s="19">
        <v>-813.83</v>
      </c>
      <c r="D17" s="19">
        <v>5520.22</v>
      </c>
      <c r="E17" s="19">
        <v>22195.6</v>
      </c>
      <c r="F17" s="19">
        <v>18455.58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17641.75</v>
      </c>
      <c r="L17" s="19">
        <f>D49</f>
        <v>22195.6</v>
      </c>
      <c r="M17" s="19">
        <v>0</v>
      </c>
      <c r="N17" s="19">
        <f t="shared" si="2"/>
        <v>-4553.8499999999985</v>
      </c>
      <c r="O17" s="20">
        <f t="shared" si="3"/>
        <v>9260.239999999998</v>
      </c>
      <c r="P17" s="21">
        <f t="shared" si="0"/>
        <v>0.6658861256856193</v>
      </c>
      <c r="Q17" s="22"/>
      <c r="R17" s="22"/>
      <c r="S17" s="22"/>
      <c r="T17" s="22"/>
      <c r="U17" s="22"/>
      <c r="V17" s="22"/>
    </row>
    <row r="18" spans="1:22" s="23" customFormat="1" ht="15" customHeight="1">
      <c r="A18" s="17" t="s">
        <v>30</v>
      </c>
      <c r="B18" s="18">
        <v>0</v>
      </c>
      <c r="C18" s="19">
        <v>-3157.66</v>
      </c>
      <c r="D18" s="19">
        <v>1041.41</v>
      </c>
      <c r="E18" s="19">
        <v>40659.62</v>
      </c>
      <c r="F18" s="19">
        <v>33808.4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30650.74</v>
      </c>
      <c r="L18" s="19">
        <f>D50</f>
        <v>40659.62</v>
      </c>
      <c r="M18" s="19">
        <v>0</v>
      </c>
      <c r="N18" s="19">
        <f t="shared" si="2"/>
        <v>-10008.880000000001</v>
      </c>
      <c r="O18" s="20">
        <f t="shared" si="3"/>
        <v>7892.630000000005</v>
      </c>
      <c r="P18" s="21">
        <f t="shared" si="0"/>
        <v>0.8107329723030822</v>
      </c>
      <c r="Q18" s="22"/>
      <c r="R18" s="22"/>
      <c r="S18" s="22"/>
      <c r="T18" s="22"/>
      <c r="U18" s="22"/>
      <c r="V18" s="22"/>
    </row>
    <row r="19" spans="1:22" s="23" customFormat="1" ht="18" customHeight="1">
      <c r="A19" s="17" t="s">
        <v>31</v>
      </c>
      <c r="B19" s="18">
        <v>0</v>
      </c>
      <c r="C19" s="19">
        <v>-772.99</v>
      </c>
      <c r="D19" s="19">
        <v>1155.64</v>
      </c>
      <c r="E19" s="19">
        <v>45118.12</v>
      </c>
      <c r="F19" s="19">
        <v>37515.62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36742.630000000005</v>
      </c>
      <c r="L19" s="19">
        <f>D51</f>
        <v>68960.7</v>
      </c>
      <c r="M19" s="19">
        <v>0</v>
      </c>
      <c r="N19" s="19">
        <f t="shared" si="2"/>
        <v>-32218.069999999992</v>
      </c>
      <c r="O19" s="20">
        <f t="shared" si="3"/>
        <v>8758.14</v>
      </c>
      <c r="P19" s="21">
        <f t="shared" si="0"/>
        <v>0.8107320433870081</v>
      </c>
      <c r="Q19" s="22"/>
      <c r="R19" s="22"/>
      <c r="S19" s="22"/>
      <c r="T19" s="22"/>
      <c r="U19" s="22"/>
      <c r="V19" s="22"/>
    </row>
    <row r="20" spans="1:22" s="16" customFormat="1" ht="18.75" customHeight="1" thickBot="1">
      <c r="A20" s="24" t="s">
        <v>32</v>
      </c>
      <c r="B20" s="25">
        <v>0</v>
      </c>
      <c r="C20" s="26">
        <v>507.8</v>
      </c>
      <c r="D20" s="26">
        <v>170.73</v>
      </c>
      <c r="E20" s="26">
        <v>13223.33</v>
      </c>
      <c r="F20" s="26">
        <v>10189.1</v>
      </c>
      <c r="G20" s="26">
        <v>0</v>
      </c>
      <c r="H20" s="26">
        <v>0</v>
      </c>
      <c r="I20" s="26">
        <v>0</v>
      </c>
      <c r="J20" s="26">
        <v>0</v>
      </c>
      <c r="K20" s="27">
        <f t="shared" si="1"/>
        <v>10696.9</v>
      </c>
      <c r="L20" s="27">
        <f>E20+C20</f>
        <v>13731.13</v>
      </c>
      <c r="M20" s="26">
        <v>0</v>
      </c>
      <c r="N20" s="27">
        <f t="shared" si="2"/>
        <v>-3034.2299999999996</v>
      </c>
      <c r="O20" s="28">
        <f>D20+E20-F20</f>
        <v>3204.959999999999</v>
      </c>
      <c r="P20" s="29">
        <f t="shared" si="0"/>
        <v>0.7607178107310256</v>
      </c>
      <c r="Q20" s="15"/>
      <c r="R20" s="15"/>
      <c r="S20" s="15"/>
      <c r="T20" s="15"/>
      <c r="U20" s="15"/>
      <c r="V20" s="15"/>
    </row>
    <row r="21" spans="1:22" s="16" customFormat="1" ht="17.25" customHeight="1" thickBot="1">
      <c r="A21" s="30" t="s">
        <v>33</v>
      </c>
      <c r="B21" s="31">
        <f aca="true" t="shared" si="4" ref="B21:O21">SUM(B13:B20)</f>
        <v>0</v>
      </c>
      <c r="C21" s="32">
        <f t="shared" si="4"/>
        <v>-106.47999999999996</v>
      </c>
      <c r="D21" s="32">
        <f t="shared" si="4"/>
        <v>9850.72</v>
      </c>
      <c r="E21" s="32">
        <f t="shared" si="4"/>
        <v>198004.12999999998</v>
      </c>
      <c r="F21" s="32">
        <f t="shared" si="4"/>
        <v>163834.72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163728.24000000002</v>
      </c>
      <c r="L21" s="32">
        <f t="shared" si="4"/>
        <v>225742.03999999998</v>
      </c>
      <c r="M21" s="32">
        <f t="shared" si="4"/>
        <v>0</v>
      </c>
      <c r="N21" s="32">
        <f t="shared" si="4"/>
        <v>-62013.79999999999</v>
      </c>
      <c r="O21" s="33">
        <f t="shared" si="4"/>
        <v>44020.130000000005</v>
      </c>
      <c r="P21" s="34">
        <f t="shared" si="0"/>
        <v>0.7882169696786003</v>
      </c>
      <c r="Q21" s="15"/>
      <c r="R21" s="15"/>
      <c r="S21" s="15"/>
      <c r="T21" s="15"/>
      <c r="U21" s="15"/>
      <c r="V21" s="15"/>
    </row>
    <row r="22" spans="1:17" ht="15.75" thickBot="1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6"/>
      <c r="N22" s="36"/>
      <c r="O22" s="36"/>
      <c r="P22" s="35"/>
      <c r="Q22" s="35"/>
    </row>
    <row r="23" spans="1:22" s="8" customFormat="1" ht="86.25" customHeight="1" thickBot="1">
      <c r="A23" s="38" t="s">
        <v>34</v>
      </c>
      <c r="B23" s="39" t="s">
        <v>35</v>
      </c>
      <c r="C23" s="40" t="s">
        <v>36</v>
      </c>
      <c r="D23" s="40" t="s">
        <v>8</v>
      </c>
      <c r="E23" s="40" t="s">
        <v>9</v>
      </c>
      <c r="F23" s="40" t="s">
        <v>10</v>
      </c>
      <c r="G23" s="40" t="s">
        <v>37</v>
      </c>
      <c r="H23" s="40" t="s">
        <v>38</v>
      </c>
      <c r="I23" s="40" t="s">
        <v>39</v>
      </c>
      <c r="J23" s="40" t="s">
        <v>40</v>
      </c>
      <c r="K23" s="40" t="s">
        <v>41</v>
      </c>
      <c r="L23" s="40" t="s">
        <v>42</v>
      </c>
      <c r="M23" s="40" t="s">
        <v>43</v>
      </c>
      <c r="N23" s="40" t="s">
        <v>14</v>
      </c>
      <c r="O23" s="40" t="s">
        <v>15</v>
      </c>
      <c r="P23" s="41" t="s">
        <v>16</v>
      </c>
      <c r="Q23" s="42" t="s">
        <v>17</v>
      </c>
      <c r="R23" s="7"/>
      <c r="S23" s="7"/>
      <c r="T23" s="7"/>
      <c r="U23" s="7"/>
      <c r="V23" s="7"/>
    </row>
    <row r="24" spans="1:22" s="50" customFormat="1" ht="17.25" customHeight="1">
      <c r="A24" s="43" t="s">
        <v>44</v>
      </c>
      <c r="B24" s="44" t="s">
        <v>45</v>
      </c>
      <c r="C24" s="45">
        <v>1474.073</v>
      </c>
      <c r="D24" s="46">
        <v>0</v>
      </c>
      <c r="E24" s="46">
        <v>-1478.51</v>
      </c>
      <c r="F24" s="46">
        <v>3841.35</v>
      </c>
      <c r="G24" s="46">
        <v>27250.9</v>
      </c>
      <c r="H24" s="46">
        <v>23650.31</v>
      </c>
      <c r="I24" s="141" t="s">
        <v>46</v>
      </c>
      <c r="J24" s="46">
        <v>27250.9</v>
      </c>
      <c r="K24" s="46">
        <v>22656.84</v>
      </c>
      <c r="L24" s="46">
        <f>J24-K24</f>
        <v>4594.060000000001</v>
      </c>
      <c r="M24" s="46">
        <v>0</v>
      </c>
      <c r="N24" s="46">
        <v>0</v>
      </c>
      <c r="O24" s="46">
        <f>E24+H24-J24</f>
        <v>-5079.0999999999985</v>
      </c>
      <c r="P24" s="47">
        <f>F24+G24-H24</f>
        <v>7441.939999999999</v>
      </c>
      <c r="Q24" s="48">
        <f aca="true" t="shared" si="5" ref="Q24:Q29">H24/(F24+G24)</f>
        <v>0.7606496795825327</v>
      </c>
      <c r="R24" s="49"/>
      <c r="S24" s="49"/>
      <c r="T24" s="49"/>
      <c r="U24" s="49"/>
      <c r="V24" s="49"/>
    </row>
    <row r="25" spans="1:22" s="50" customFormat="1" ht="17.25" customHeight="1">
      <c r="A25" s="51" t="s">
        <v>47</v>
      </c>
      <c r="B25" s="52" t="s">
        <v>48</v>
      </c>
      <c r="C25" s="53">
        <v>68.672</v>
      </c>
      <c r="D25" s="19">
        <v>0</v>
      </c>
      <c r="E25" s="19">
        <v>-3535.49</v>
      </c>
      <c r="F25" s="19">
        <v>9174.75</v>
      </c>
      <c r="G25" s="19">
        <v>71881.3</v>
      </c>
      <c r="H25" s="19">
        <v>61845.11</v>
      </c>
      <c r="I25" s="126"/>
      <c r="J25" s="19">
        <v>71881.3</v>
      </c>
      <c r="K25" s="19">
        <v>59247.2</v>
      </c>
      <c r="L25" s="46">
        <f>J25-K25</f>
        <v>12634.100000000006</v>
      </c>
      <c r="M25" s="19">
        <v>0</v>
      </c>
      <c r="N25" s="19">
        <v>0</v>
      </c>
      <c r="O25" s="46">
        <f>E25+H25-J25</f>
        <v>-13571.68</v>
      </c>
      <c r="P25" s="47">
        <f>F25+G25-H25</f>
        <v>19210.940000000002</v>
      </c>
      <c r="Q25" s="48">
        <f t="shared" si="5"/>
        <v>0.762991904984267</v>
      </c>
      <c r="R25" s="49"/>
      <c r="S25" s="49"/>
      <c r="T25" s="49"/>
      <c r="U25" s="49"/>
      <c r="V25" s="49"/>
    </row>
    <row r="26" spans="1:22" s="50" customFormat="1" ht="17.25" customHeight="1">
      <c r="A26" s="51" t="s">
        <v>49</v>
      </c>
      <c r="B26" s="52" t="s">
        <v>48</v>
      </c>
      <c r="C26" s="53">
        <v>181.245</v>
      </c>
      <c r="D26" s="19">
        <v>0</v>
      </c>
      <c r="E26" s="19">
        <v>-36904.3</v>
      </c>
      <c r="F26" s="19">
        <v>35736.73</v>
      </c>
      <c r="G26" s="19">
        <v>189600.24</v>
      </c>
      <c r="H26" s="19">
        <v>172912.82</v>
      </c>
      <c r="I26" s="126"/>
      <c r="J26" s="19">
        <v>189600.24</v>
      </c>
      <c r="K26" s="19">
        <v>165649.32</v>
      </c>
      <c r="L26" s="46">
        <f>J26-K26</f>
        <v>23950.919999999984</v>
      </c>
      <c r="M26" s="19">
        <v>0</v>
      </c>
      <c r="N26" s="19">
        <v>0</v>
      </c>
      <c r="O26" s="46">
        <f>E26+H26-J26</f>
        <v>-53591.71999999997</v>
      </c>
      <c r="P26" s="47">
        <f>F26+G26-H26</f>
        <v>52424.149999999994</v>
      </c>
      <c r="Q26" s="48">
        <f t="shared" si="5"/>
        <v>0.7673522014607723</v>
      </c>
      <c r="R26" s="49"/>
      <c r="S26" s="49"/>
      <c r="T26" s="49"/>
      <c r="U26" s="49"/>
      <c r="V26" s="49"/>
    </row>
    <row r="27" spans="1:22" s="50" customFormat="1" ht="17.25" customHeight="1">
      <c r="A27" s="51" t="s">
        <v>50</v>
      </c>
      <c r="B27" s="52" t="s">
        <v>45</v>
      </c>
      <c r="C27" s="53">
        <f>1490.857+248.097</f>
        <v>1738.954</v>
      </c>
      <c r="D27" s="19">
        <v>0</v>
      </c>
      <c r="E27" s="19">
        <v>0</v>
      </c>
      <c r="F27" s="19">
        <v>2014.73</v>
      </c>
      <c r="G27" s="19">
        <v>32143.3</v>
      </c>
      <c r="H27" s="19">
        <v>25751.48</v>
      </c>
      <c r="I27" s="126" t="s">
        <v>51</v>
      </c>
      <c r="J27" s="19">
        <v>32143.3</v>
      </c>
      <c r="K27" s="19">
        <v>25185.02</v>
      </c>
      <c r="L27" s="46">
        <f>J27-K27</f>
        <v>6958.279999999999</v>
      </c>
      <c r="M27" s="19">
        <v>0</v>
      </c>
      <c r="N27" s="19">
        <v>0</v>
      </c>
      <c r="O27" s="46">
        <f>E27+H27-J27</f>
        <v>-6391.82</v>
      </c>
      <c r="P27" s="47">
        <f>F27+G27-H27</f>
        <v>8406.55</v>
      </c>
      <c r="Q27" s="48">
        <f t="shared" si="5"/>
        <v>0.7538924229529631</v>
      </c>
      <c r="R27" s="49"/>
      <c r="S27" s="49"/>
      <c r="T27" s="49"/>
      <c r="U27" s="49"/>
      <c r="V27" s="49"/>
    </row>
    <row r="28" spans="1:22" s="50" customFormat="1" ht="17.25" customHeight="1" thickBot="1">
      <c r="A28" s="54" t="s">
        <v>52</v>
      </c>
      <c r="B28" s="55" t="s">
        <v>45</v>
      </c>
      <c r="C28" s="56">
        <f>2296.406+287.99</f>
        <v>2584.3959999999997</v>
      </c>
      <c r="D28" s="57">
        <v>0</v>
      </c>
      <c r="E28" s="57">
        <v>0</v>
      </c>
      <c r="F28" s="57">
        <v>2547.22</v>
      </c>
      <c r="G28" s="57">
        <v>64620.8</v>
      </c>
      <c r="H28" s="57">
        <v>47654.56</v>
      </c>
      <c r="I28" s="127"/>
      <c r="J28" s="57">
        <v>64620.8</v>
      </c>
      <c r="K28" s="57">
        <v>46611.85</v>
      </c>
      <c r="L28" s="46">
        <f>J28-K28</f>
        <v>18008.950000000004</v>
      </c>
      <c r="M28" s="57">
        <v>0</v>
      </c>
      <c r="N28" s="57">
        <v>0</v>
      </c>
      <c r="O28" s="46">
        <f>E28+H28-J28</f>
        <v>-16966.240000000005</v>
      </c>
      <c r="P28" s="47">
        <f>F28+G28-H28</f>
        <v>19513.460000000006</v>
      </c>
      <c r="Q28" s="58">
        <f t="shared" si="5"/>
        <v>0.7094828759281574</v>
      </c>
      <c r="R28" s="49"/>
      <c r="S28" s="49"/>
      <c r="T28" s="49"/>
      <c r="U28" s="49"/>
      <c r="V28" s="49"/>
    </row>
    <row r="29" spans="1:22" s="63" customFormat="1" ht="17.25" customHeight="1" thickBot="1">
      <c r="A29" s="59" t="s">
        <v>53</v>
      </c>
      <c r="B29" s="60"/>
      <c r="C29" s="61"/>
      <c r="D29" s="32">
        <f>SUM(D24:D28)</f>
        <v>0</v>
      </c>
      <c r="E29" s="32">
        <f aca="true" t="shared" si="6" ref="E29:P29">SUM(E24:E28)</f>
        <v>-41918.3</v>
      </c>
      <c r="F29" s="32">
        <f t="shared" si="6"/>
        <v>53314.780000000006</v>
      </c>
      <c r="G29" s="32">
        <f t="shared" si="6"/>
        <v>385496.54</v>
      </c>
      <c r="H29" s="32">
        <f t="shared" si="6"/>
        <v>331814.27999999997</v>
      </c>
      <c r="I29" s="32"/>
      <c r="J29" s="32">
        <f t="shared" si="6"/>
        <v>385496.54</v>
      </c>
      <c r="K29" s="32">
        <f t="shared" si="6"/>
        <v>319350.23</v>
      </c>
      <c r="L29" s="32">
        <f t="shared" si="6"/>
        <v>66146.31</v>
      </c>
      <c r="M29" s="32">
        <f t="shared" si="6"/>
        <v>0</v>
      </c>
      <c r="N29" s="32">
        <f t="shared" si="6"/>
        <v>0</v>
      </c>
      <c r="O29" s="32">
        <f t="shared" si="6"/>
        <v>-95600.55999999998</v>
      </c>
      <c r="P29" s="33">
        <f t="shared" si="6"/>
        <v>106997.04000000001</v>
      </c>
      <c r="Q29" s="34">
        <f t="shared" si="5"/>
        <v>0.7561661809453776</v>
      </c>
      <c r="R29" s="62"/>
      <c r="S29" s="62"/>
      <c r="T29" s="62"/>
      <c r="U29" s="62"/>
      <c r="V29" s="62"/>
    </row>
    <row r="30" spans="1:17" ht="15">
      <c r="A30" s="35"/>
      <c r="B30" s="36"/>
      <c r="C30" s="36"/>
      <c r="D30" s="36"/>
      <c r="E30" s="36"/>
      <c r="F30" s="64"/>
      <c r="G30" s="64"/>
      <c r="H30" s="64"/>
      <c r="I30" s="37"/>
      <c r="J30" s="37"/>
      <c r="K30" s="37"/>
      <c r="L30" s="37"/>
      <c r="M30" s="36"/>
      <c r="N30" s="36"/>
      <c r="O30" s="36"/>
      <c r="P30" s="35"/>
      <c r="Q30" s="35"/>
    </row>
    <row r="31" spans="1:22" s="67" customFormat="1" ht="15">
      <c r="A31" s="65" t="s">
        <v>54</v>
      </c>
      <c r="B31" s="2"/>
      <c r="C31" s="2"/>
      <c r="D31" s="2"/>
      <c r="E31" s="2"/>
      <c r="F31" s="3"/>
      <c r="G31" s="37"/>
      <c r="H31" s="37"/>
      <c r="I31" s="37"/>
      <c r="J31" s="37"/>
      <c r="K31" s="37"/>
      <c r="L31" s="37"/>
      <c r="M31" s="2"/>
      <c r="N31" s="2"/>
      <c r="O31" s="2"/>
      <c r="P31" s="35"/>
      <c r="Q31" s="35"/>
      <c r="R31" s="35"/>
      <c r="S31" s="35"/>
      <c r="T31" s="66"/>
      <c r="U31" s="66"/>
      <c r="V31" s="66"/>
    </row>
    <row r="32" spans="1:22" s="67" customFormat="1" ht="49.5" customHeight="1">
      <c r="A32" s="68" t="s">
        <v>55</v>
      </c>
      <c r="B32" s="68" t="s">
        <v>35</v>
      </c>
      <c r="C32" s="68" t="s">
        <v>56</v>
      </c>
      <c r="D32" s="68" t="s">
        <v>57</v>
      </c>
      <c r="E32" s="128" t="s">
        <v>58</v>
      </c>
      <c r="F32" s="128"/>
      <c r="G32" s="128" t="s">
        <v>59</v>
      </c>
      <c r="H32" s="128"/>
      <c r="I32" s="129" t="s">
        <v>60</v>
      </c>
      <c r="J32" s="129"/>
      <c r="K32" s="129"/>
      <c r="L32" s="129"/>
      <c r="M32" s="129"/>
      <c r="N32" s="129"/>
      <c r="O32" s="69"/>
      <c r="P32" s="69"/>
      <c r="Q32" s="69"/>
      <c r="R32" s="69"/>
      <c r="S32" s="35"/>
      <c r="T32" s="66"/>
      <c r="U32" s="66"/>
      <c r="V32" s="66"/>
    </row>
    <row r="33" spans="1:22" s="67" customFormat="1" ht="15.75">
      <c r="A33" s="130" t="s">
        <v>61</v>
      </c>
      <c r="B33" s="131"/>
      <c r="C33" s="132"/>
      <c r="D33" s="27">
        <f>D34+D40+D44+D48+D49+D50+D51</f>
        <v>212010.90999999997</v>
      </c>
      <c r="E33" s="133"/>
      <c r="F33" s="133"/>
      <c r="G33" s="101"/>
      <c r="H33" s="101"/>
      <c r="I33" s="134"/>
      <c r="J33" s="134"/>
      <c r="K33" s="134"/>
      <c r="L33" s="134"/>
      <c r="M33" s="134"/>
      <c r="N33" s="134"/>
      <c r="O33" s="70"/>
      <c r="P33" s="70"/>
      <c r="Q33" s="70"/>
      <c r="R33" s="70"/>
      <c r="S33" s="35"/>
      <c r="T33" s="66"/>
      <c r="U33" s="66"/>
      <c r="V33" s="66"/>
    </row>
    <row r="34" spans="1:22" s="67" customFormat="1" ht="41.25" customHeight="1">
      <c r="A34" s="117" t="s">
        <v>62</v>
      </c>
      <c r="B34" s="118"/>
      <c r="C34" s="119"/>
      <c r="D34" s="71">
        <f>SUM(D35:D39)</f>
        <v>25208</v>
      </c>
      <c r="E34" s="95"/>
      <c r="F34" s="95"/>
      <c r="G34" s="120" t="s">
        <v>63</v>
      </c>
      <c r="H34" s="121"/>
      <c r="I34" s="108" t="s">
        <v>64</v>
      </c>
      <c r="J34" s="109"/>
      <c r="K34" s="109"/>
      <c r="L34" s="109"/>
      <c r="M34" s="109"/>
      <c r="N34" s="110"/>
      <c r="O34" s="72"/>
      <c r="P34" s="72"/>
      <c r="Q34" s="72"/>
      <c r="R34" s="72"/>
      <c r="S34" s="35"/>
      <c r="T34" s="66"/>
      <c r="U34" s="66"/>
      <c r="V34" s="66"/>
    </row>
    <row r="35" spans="1:22" s="67" customFormat="1" ht="29.25" customHeight="1">
      <c r="A35" s="73" t="s">
        <v>65</v>
      </c>
      <c r="B35" s="74" t="s">
        <v>66</v>
      </c>
      <c r="C35" s="19">
        <f>32*137</f>
        <v>4384</v>
      </c>
      <c r="D35" s="19">
        <f>C35</f>
        <v>4384</v>
      </c>
      <c r="E35" s="95" t="s">
        <v>67</v>
      </c>
      <c r="F35" s="95"/>
      <c r="G35" s="122"/>
      <c r="H35" s="123"/>
      <c r="I35" s="111"/>
      <c r="J35" s="112"/>
      <c r="K35" s="112"/>
      <c r="L35" s="112"/>
      <c r="M35" s="112"/>
      <c r="N35" s="113"/>
      <c r="O35" s="72"/>
      <c r="P35" s="72"/>
      <c r="Q35" s="72"/>
      <c r="R35" s="72"/>
      <c r="S35" s="35"/>
      <c r="T35" s="66"/>
      <c r="U35" s="66"/>
      <c r="V35" s="66"/>
    </row>
    <row r="36" spans="1:22" s="67" customFormat="1" ht="30.75" customHeight="1">
      <c r="A36" s="73" t="s">
        <v>68</v>
      </c>
      <c r="B36" s="74" t="s">
        <v>66</v>
      </c>
      <c r="C36" s="19">
        <f>89*137</f>
        <v>12193</v>
      </c>
      <c r="D36" s="19">
        <f>C36</f>
        <v>12193</v>
      </c>
      <c r="E36" s="95" t="s">
        <v>69</v>
      </c>
      <c r="F36" s="95"/>
      <c r="G36" s="122"/>
      <c r="H36" s="123"/>
      <c r="I36" s="111"/>
      <c r="J36" s="112"/>
      <c r="K36" s="112"/>
      <c r="L36" s="112"/>
      <c r="M36" s="112"/>
      <c r="N36" s="113"/>
      <c r="O36" s="72"/>
      <c r="P36" s="72"/>
      <c r="Q36" s="72"/>
      <c r="R36" s="72"/>
      <c r="S36" s="35"/>
      <c r="T36" s="66"/>
      <c r="U36" s="66"/>
      <c r="V36" s="66"/>
    </row>
    <row r="37" spans="1:22" s="67" customFormat="1" ht="15.75" customHeight="1">
      <c r="A37" s="73" t="s">
        <v>70</v>
      </c>
      <c r="B37" s="74" t="s">
        <v>66</v>
      </c>
      <c r="C37" s="19">
        <f>23*137</f>
        <v>3151</v>
      </c>
      <c r="D37" s="19">
        <f>C37</f>
        <v>3151</v>
      </c>
      <c r="E37" s="95" t="s">
        <v>71</v>
      </c>
      <c r="F37" s="95"/>
      <c r="G37" s="122"/>
      <c r="H37" s="123"/>
      <c r="I37" s="111"/>
      <c r="J37" s="112"/>
      <c r="K37" s="112"/>
      <c r="L37" s="112"/>
      <c r="M37" s="112"/>
      <c r="N37" s="113"/>
      <c r="O37" s="72"/>
      <c r="P37" s="72"/>
      <c r="Q37" s="72"/>
      <c r="R37" s="72"/>
      <c r="S37" s="35"/>
      <c r="T37" s="66"/>
      <c r="U37" s="66"/>
      <c r="V37" s="66"/>
    </row>
    <row r="38" spans="1:22" s="67" customFormat="1" ht="27" customHeight="1">
      <c r="A38" s="73" t="s">
        <v>72</v>
      </c>
      <c r="B38" s="74" t="s">
        <v>66</v>
      </c>
      <c r="C38" s="19">
        <f>24*137</f>
        <v>3288</v>
      </c>
      <c r="D38" s="19">
        <f>C38</f>
        <v>3288</v>
      </c>
      <c r="E38" s="95" t="s">
        <v>69</v>
      </c>
      <c r="F38" s="95"/>
      <c r="G38" s="122"/>
      <c r="H38" s="123"/>
      <c r="I38" s="111"/>
      <c r="J38" s="112"/>
      <c r="K38" s="112"/>
      <c r="L38" s="112"/>
      <c r="M38" s="112"/>
      <c r="N38" s="113"/>
      <c r="O38" s="72"/>
      <c r="P38" s="72"/>
      <c r="Q38" s="72"/>
      <c r="R38" s="72"/>
      <c r="S38" s="35"/>
      <c r="T38" s="66"/>
      <c r="U38" s="66"/>
      <c r="V38" s="66"/>
    </row>
    <row r="39" spans="1:22" s="67" customFormat="1" ht="29.25" customHeight="1">
      <c r="A39" s="73" t="s">
        <v>73</v>
      </c>
      <c r="B39" s="74" t="s">
        <v>66</v>
      </c>
      <c r="C39" s="19">
        <f>16*137</f>
        <v>2192</v>
      </c>
      <c r="D39" s="19">
        <f>C39</f>
        <v>2192</v>
      </c>
      <c r="E39" s="95" t="s">
        <v>74</v>
      </c>
      <c r="F39" s="95"/>
      <c r="G39" s="124"/>
      <c r="H39" s="125"/>
      <c r="I39" s="114"/>
      <c r="J39" s="115"/>
      <c r="K39" s="115"/>
      <c r="L39" s="115"/>
      <c r="M39" s="115"/>
      <c r="N39" s="116"/>
      <c r="O39" s="72"/>
      <c r="P39" s="72"/>
      <c r="Q39" s="72"/>
      <c r="R39" s="72"/>
      <c r="S39" s="35"/>
      <c r="T39" s="66"/>
      <c r="U39" s="66"/>
      <c r="V39" s="66"/>
    </row>
    <row r="40" spans="1:22" s="67" customFormat="1" ht="28.5" customHeight="1">
      <c r="A40" s="103" t="s">
        <v>75</v>
      </c>
      <c r="B40" s="104"/>
      <c r="C40" s="105"/>
      <c r="D40" s="71">
        <f>SUM(D41:D43)</f>
        <v>9300</v>
      </c>
      <c r="E40" s="95"/>
      <c r="F40" s="95"/>
      <c r="G40" s="96" t="s">
        <v>63</v>
      </c>
      <c r="H40" s="96"/>
      <c r="I40" s="108" t="s">
        <v>76</v>
      </c>
      <c r="J40" s="109"/>
      <c r="K40" s="109"/>
      <c r="L40" s="109"/>
      <c r="M40" s="109"/>
      <c r="N40" s="110"/>
      <c r="O40" s="75"/>
      <c r="P40" s="75"/>
      <c r="Q40" s="75"/>
      <c r="R40" s="75"/>
      <c r="S40" s="35"/>
      <c r="T40" s="66"/>
      <c r="U40" s="66"/>
      <c r="V40" s="66"/>
    </row>
    <row r="41" spans="1:22" s="67" customFormat="1" ht="22.5" customHeight="1">
      <c r="A41" s="73" t="s">
        <v>77</v>
      </c>
      <c r="B41" s="74" t="s">
        <v>66</v>
      </c>
      <c r="C41" s="19">
        <v>3135</v>
      </c>
      <c r="D41" s="19">
        <f>C41</f>
        <v>3135</v>
      </c>
      <c r="E41" s="95" t="s">
        <v>78</v>
      </c>
      <c r="F41" s="95"/>
      <c r="G41" s="96"/>
      <c r="H41" s="96"/>
      <c r="I41" s="111"/>
      <c r="J41" s="112"/>
      <c r="K41" s="112"/>
      <c r="L41" s="112"/>
      <c r="M41" s="112"/>
      <c r="N41" s="113"/>
      <c r="O41" s="76"/>
      <c r="P41" s="76"/>
      <c r="Q41" s="76"/>
      <c r="R41" s="76"/>
      <c r="S41" s="35"/>
      <c r="T41" s="66"/>
      <c r="U41" s="66"/>
      <c r="V41" s="66"/>
    </row>
    <row r="42" spans="1:22" s="67" customFormat="1" ht="30.75" customHeight="1">
      <c r="A42" s="73" t="s">
        <v>79</v>
      </c>
      <c r="B42" s="74" t="s">
        <v>66</v>
      </c>
      <c r="C42" s="19">
        <f>37*137</f>
        <v>5069</v>
      </c>
      <c r="D42" s="19">
        <f>C42</f>
        <v>5069</v>
      </c>
      <c r="E42" s="95" t="s">
        <v>71</v>
      </c>
      <c r="F42" s="95"/>
      <c r="G42" s="96"/>
      <c r="H42" s="96"/>
      <c r="I42" s="111"/>
      <c r="J42" s="112"/>
      <c r="K42" s="112"/>
      <c r="L42" s="112"/>
      <c r="M42" s="112"/>
      <c r="N42" s="113"/>
      <c r="O42" s="76"/>
      <c r="P42" s="76"/>
      <c r="Q42" s="76"/>
      <c r="R42" s="76"/>
      <c r="S42" s="35"/>
      <c r="T42" s="66"/>
      <c r="U42" s="66"/>
      <c r="V42" s="66"/>
    </row>
    <row r="43" spans="1:22" s="67" customFormat="1" ht="31.5" customHeight="1">
      <c r="A43" s="73" t="s">
        <v>80</v>
      </c>
      <c r="B43" s="74" t="s">
        <v>66</v>
      </c>
      <c r="C43" s="19">
        <f>8*137</f>
        <v>1096</v>
      </c>
      <c r="D43" s="19">
        <f>C43</f>
        <v>1096</v>
      </c>
      <c r="E43" s="95" t="s">
        <v>71</v>
      </c>
      <c r="F43" s="95"/>
      <c r="G43" s="96"/>
      <c r="H43" s="96"/>
      <c r="I43" s="114"/>
      <c r="J43" s="115"/>
      <c r="K43" s="115"/>
      <c r="L43" s="115"/>
      <c r="M43" s="115"/>
      <c r="N43" s="116"/>
      <c r="O43" s="76"/>
      <c r="P43" s="76"/>
      <c r="Q43" s="76"/>
      <c r="R43" s="76"/>
      <c r="S43" s="35"/>
      <c r="T43" s="66"/>
      <c r="U43" s="66"/>
      <c r="V43" s="66"/>
    </row>
    <row r="44" spans="1:22" s="67" customFormat="1" ht="45" customHeight="1">
      <c r="A44" s="103" t="s">
        <v>81</v>
      </c>
      <c r="B44" s="104"/>
      <c r="C44" s="105"/>
      <c r="D44" s="71">
        <f>SUM(D45:D47)</f>
        <v>20927.71</v>
      </c>
      <c r="E44" s="106"/>
      <c r="F44" s="107"/>
      <c r="G44" s="96" t="s">
        <v>63</v>
      </c>
      <c r="H44" s="96"/>
      <c r="I44" s="108" t="s">
        <v>82</v>
      </c>
      <c r="J44" s="109"/>
      <c r="K44" s="109"/>
      <c r="L44" s="109"/>
      <c r="M44" s="109"/>
      <c r="N44" s="110"/>
      <c r="O44" s="76"/>
      <c r="P44" s="76"/>
      <c r="Q44" s="76"/>
      <c r="R44" s="76"/>
      <c r="S44" s="35"/>
      <c r="T44" s="66"/>
      <c r="U44" s="66"/>
      <c r="V44" s="66"/>
    </row>
    <row r="45" spans="1:22" s="67" customFormat="1" ht="19.5" customHeight="1">
      <c r="A45" s="73" t="s">
        <v>83</v>
      </c>
      <c r="B45" s="74" t="s">
        <v>66</v>
      </c>
      <c r="C45" s="19">
        <v>1747.71</v>
      </c>
      <c r="D45" s="19">
        <f aca="true" t="shared" si="7" ref="D45:D50">C45</f>
        <v>1747.71</v>
      </c>
      <c r="E45" s="106" t="s">
        <v>84</v>
      </c>
      <c r="F45" s="107"/>
      <c r="G45" s="96"/>
      <c r="H45" s="96"/>
      <c r="I45" s="111"/>
      <c r="J45" s="112"/>
      <c r="K45" s="112"/>
      <c r="L45" s="112"/>
      <c r="M45" s="112"/>
      <c r="N45" s="113"/>
      <c r="O45" s="76"/>
      <c r="P45" s="76"/>
      <c r="Q45" s="76"/>
      <c r="R45" s="76"/>
      <c r="S45" s="35"/>
      <c r="T45" s="66"/>
      <c r="U45" s="66"/>
      <c r="V45" s="66"/>
    </row>
    <row r="46" spans="1:22" s="67" customFormat="1" ht="19.5" customHeight="1">
      <c r="A46" s="73" t="s">
        <v>85</v>
      </c>
      <c r="B46" s="74" t="s">
        <v>66</v>
      </c>
      <c r="C46" s="19">
        <f>92*137</f>
        <v>12604</v>
      </c>
      <c r="D46" s="19">
        <f t="shared" si="7"/>
        <v>12604</v>
      </c>
      <c r="E46" s="106" t="s">
        <v>69</v>
      </c>
      <c r="F46" s="107"/>
      <c r="G46" s="96"/>
      <c r="H46" s="96"/>
      <c r="I46" s="111"/>
      <c r="J46" s="112"/>
      <c r="K46" s="112"/>
      <c r="L46" s="112"/>
      <c r="M46" s="112"/>
      <c r="N46" s="113"/>
      <c r="O46" s="76"/>
      <c r="P46" s="76"/>
      <c r="Q46" s="76"/>
      <c r="R46" s="76"/>
      <c r="S46" s="35"/>
      <c r="T46" s="66"/>
      <c r="U46" s="66"/>
      <c r="V46" s="66"/>
    </row>
    <row r="47" spans="1:22" s="67" customFormat="1" ht="32.25" customHeight="1">
      <c r="A47" s="73" t="s">
        <v>86</v>
      </c>
      <c r="B47" s="74" t="s">
        <v>66</v>
      </c>
      <c r="C47" s="19">
        <f>48*137</f>
        <v>6576</v>
      </c>
      <c r="D47" s="19">
        <f t="shared" si="7"/>
        <v>6576</v>
      </c>
      <c r="E47" s="106" t="s">
        <v>69</v>
      </c>
      <c r="F47" s="107"/>
      <c r="G47" s="96"/>
      <c r="H47" s="96"/>
      <c r="I47" s="114"/>
      <c r="J47" s="115"/>
      <c r="K47" s="115"/>
      <c r="L47" s="115"/>
      <c r="M47" s="115"/>
      <c r="N47" s="116"/>
      <c r="O47" s="76"/>
      <c r="P47" s="76"/>
      <c r="Q47" s="76"/>
      <c r="R47" s="76"/>
      <c r="S47" s="35"/>
      <c r="T47" s="66"/>
      <c r="U47" s="66"/>
      <c r="V47" s="66"/>
    </row>
    <row r="48" spans="1:22" s="67" customFormat="1" ht="18.75" customHeight="1">
      <c r="A48" s="77" t="s">
        <v>87</v>
      </c>
      <c r="B48" s="74" t="s">
        <v>66</v>
      </c>
      <c r="C48" s="19">
        <f>E16</f>
        <v>24759.28</v>
      </c>
      <c r="D48" s="71">
        <f t="shared" si="7"/>
        <v>24759.28</v>
      </c>
      <c r="E48" s="95" t="s">
        <v>88</v>
      </c>
      <c r="F48" s="95"/>
      <c r="G48" s="98" t="s">
        <v>63</v>
      </c>
      <c r="H48" s="98"/>
      <c r="I48" s="99" t="s">
        <v>87</v>
      </c>
      <c r="J48" s="99"/>
      <c r="K48" s="99"/>
      <c r="L48" s="99"/>
      <c r="M48" s="99"/>
      <c r="N48" s="99"/>
      <c r="O48" s="78"/>
      <c r="P48" s="78"/>
      <c r="Q48" s="78"/>
      <c r="R48" s="78"/>
      <c r="S48" s="35"/>
      <c r="T48" s="66"/>
      <c r="U48" s="66"/>
      <c r="V48" s="66"/>
    </row>
    <row r="49" spans="1:22" s="67" customFormat="1" ht="30.75" customHeight="1">
      <c r="A49" s="77" t="s">
        <v>89</v>
      </c>
      <c r="B49" s="74" t="s">
        <v>66</v>
      </c>
      <c r="C49" s="19">
        <f>E17</f>
        <v>22195.6</v>
      </c>
      <c r="D49" s="71">
        <f t="shared" si="7"/>
        <v>22195.6</v>
      </c>
      <c r="E49" s="95" t="s">
        <v>90</v>
      </c>
      <c r="F49" s="95"/>
      <c r="G49" s="96" t="s">
        <v>91</v>
      </c>
      <c r="H49" s="96"/>
      <c r="I49" s="102" t="s">
        <v>89</v>
      </c>
      <c r="J49" s="102"/>
      <c r="K49" s="102"/>
      <c r="L49" s="102"/>
      <c r="M49" s="102"/>
      <c r="N49" s="102"/>
      <c r="O49" s="75"/>
      <c r="P49" s="75"/>
      <c r="Q49" s="75"/>
      <c r="R49" s="75"/>
      <c r="S49" s="35"/>
      <c r="T49" s="66"/>
      <c r="U49" s="66"/>
      <c r="V49" s="66"/>
    </row>
    <row r="50" spans="1:22" s="67" customFormat="1" ht="17.25" customHeight="1">
      <c r="A50" s="77" t="s">
        <v>92</v>
      </c>
      <c r="B50" s="74" t="s">
        <v>66</v>
      </c>
      <c r="C50" s="19">
        <f>E18</f>
        <v>40659.62</v>
      </c>
      <c r="D50" s="71">
        <f t="shared" si="7"/>
        <v>40659.62</v>
      </c>
      <c r="E50" s="95" t="s">
        <v>88</v>
      </c>
      <c r="F50" s="95"/>
      <c r="G50" s="98" t="s">
        <v>63</v>
      </c>
      <c r="H50" s="98"/>
      <c r="I50" s="99" t="s">
        <v>92</v>
      </c>
      <c r="J50" s="99"/>
      <c r="K50" s="99"/>
      <c r="L50" s="99"/>
      <c r="M50" s="99"/>
      <c r="N50" s="99"/>
      <c r="O50" s="78"/>
      <c r="P50" s="78"/>
      <c r="Q50" s="78"/>
      <c r="R50" s="78"/>
      <c r="S50" s="35"/>
      <c r="T50" s="66"/>
      <c r="U50" s="66"/>
      <c r="V50" s="66"/>
    </row>
    <row r="51" spans="1:22" s="83" customFormat="1" ht="15">
      <c r="A51" s="79" t="s">
        <v>93</v>
      </c>
      <c r="B51" s="74"/>
      <c r="C51" s="27"/>
      <c r="D51" s="71">
        <f>SUM(D52:D56)</f>
        <v>68960.7</v>
      </c>
      <c r="E51" s="100"/>
      <c r="F51" s="100"/>
      <c r="G51" s="101"/>
      <c r="H51" s="101"/>
      <c r="I51" s="80"/>
      <c r="J51" s="80"/>
      <c r="K51" s="80"/>
      <c r="L51" s="80"/>
      <c r="M51" s="2"/>
      <c r="N51" s="2"/>
      <c r="O51" s="2"/>
      <c r="P51" s="81"/>
      <c r="Q51" s="81"/>
      <c r="R51" s="81"/>
      <c r="S51" s="81"/>
      <c r="T51" s="82"/>
      <c r="U51" s="82"/>
      <c r="V51" s="82"/>
    </row>
    <row r="52" spans="1:22" s="83" customFormat="1" ht="21.75" customHeight="1">
      <c r="A52" s="84" t="s">
        <v>94</v>
      </c>
      <c r="B52" s="74" t="s">
        <v>66</v>
      </c>
      <c r="C52" s="19">
        <f>24*137</f>
        <v>3288</v>
      </c>
      <c r="D52" s="19">
        <f>C52</f>
        <v>3288</v>
      </c>
      <c r="E52" s="95" t="s">
        <v>78</v>
      </c>
      <c r="F52" s="95"/>
      <c r="G52" s="96" t="s">
        <v>63</v>
      </c>
      <c r="H52" s="96"/>
      <c r="I52" s="80"/>
      <c r="J52" s="80"/>
      <c r="K52" s="80"/>
      <c r="L52" s="80"/>
      <c r="M52" s="2"/>
      <c r="N52" s="2"/>
      <c r="O52" s="2"/>
      <c r="P52" s="81"/>
      <c r="Q52" s="81"/>
      <c r="R52" s="81"/>
      <c r="S52" s="81"/>
      <c r="T52" s="82"/>
      <c r="U52" s="82"/>
      <c r="V52" s="82"/>
    </row>
    <row r="53" spans="1:22" s="83" customFormat="1" ht="21.75" customHeight="1">
      <c r="A53" s="84" t="s">
        <v>95</v>
      </c>
      <c r="B53" s="74" t="s">
        <v>66</v>
      </c>
      <c r="C53" s="19">
        <f>102*137</f>
        <v>13974</v>
      </c>
      <c r="D53" s="19">
        <f>C53</f>
        <v>13974</v>
      </c>
      <c r="E53" s="95" t="s">
        <v>96</v>
      </c>
      <c r="F53" s="95"/>
      <c r="G53" s="96" t="s">
        <v>63</v>
      </c>
      <c r="H53" s="96"/>
      <c r="I53" s="80"/>
      <c r="J53" s="80"/>
      <c r="K53" s="80"/>
      <c r="L53" s="80"/>
      <c r="M53" s="2"/>
      <c r="N53" s="2"/>
      <c r="O53" s="2"/>
      <c r="P53" s="81"/>
      <c r="Q53" s="81"/>
      <c r="R53" s="81"/>
      <c r="S53" s="81"/>
      <c r="T53" s="82"/>
      <c r="U53" s="82"/>
      <c r="V53" s="82"/>
    </row>
    <row r="54" spans="1:22" s="83" customFormat="1" ht="21.75" customHeight="1">
      <c r="A54" s="84" t="s">
        <v>128</v>
      </c>
      <c r="B54" s="74" t="s">
        <v>66</v>
      </c>
      <c r="C54" s="19">
        <f>72*137</f>
        <v>9864</v>
      </c>
      <c r="D54" s="19">
        <f>C54</f>
        <v>9864</v>
      </c>
      <c r="E54" s="144" t="s">
        <v>122</v>
      </c>
      <c r="F54" s="144"/>
      <c r="G54" s="96" t="s">
        <v>63</v>
      </c>
      <c r="H54" s="96"/>
      <c r="I54" s="80"/>
      <c r="J54" s="80"/>
      <c r="K54" s="80"/>
      <c r="L54" s="80"/>
      <c r="M54" s="2"/>
      <c r="N54" s="2"/>
      <c r="O54" s="2"/>
      <c r="P54" s="81"/>
      <c r="Q54" s="81"/>
      <c r="R54" s="81"/>
      <c r="S54" s="81"/>
      <c r="T54" s="82"/>
      <c r="U54" s="82"/>
      <c r="V54" s="82"/>
    </row>
    <row r="55" spans="1:22" s="83" customFormat="1" ht="21.75" customHeight="1">
      <c r="A55" s="84" t="s">
        <v>129</v>
      </c>
      <c r="B55" s="74" t="s">
        <v>66</v>
      </c>
      <c r="C55" s="19">
        <v>33340.7</v>
      </c>
      <c r="D55" s="19">
        <f>C55</f>
        <v>33340.7</v>
      </c>
      <c r="E55" s="95" t="s">
        <v>98</v>
      </c>
      <c r="F55" s="95"/>
      <c r="G55" s="96" t="s">
        <v>63</v>
      </c>
      <c r="H55" s="96"/>
      <c r="I55" s="80"/>
      <c r="J55" s="80"/>
      <c r="K55" s="80"/>
      <c r="L55" s="80"/>
      <c r="M55" s="2"/>
      <c r="N55" s="2"/>
      <c r="O55" s="2"/>
      <c r="P55" s="81"/>
      <c r="Q55" s="81"/>
      <c r="R55" s="81"/>
      <c r="S55" s="81"/>
      <c r="T55" s="82"/>
      <c r="U55" s="82"/>
      <c r="V55" s="82"/>
    </row>
    <row r="56" spans="1:22" s="83" customFormat="1" ht="21.75" customHeight="1">
      <c r="A56" s="84" t="s">
        <v>130</v>
      </c>
      <c r="B56" s="74" t="s">
        <v>66</v>
      </c>
      <c r="C56" s="19">
        <f>62*137</f>
        <v>8494</v>
      </c>
      <c r="D56" s="19">
        <f>C56</f>
        <v>8494</v>
      </c>
      <c r="E56" s="95" t="s">
        <v>98</v>
      </c>
      <c r="F56" s="95"/>
      <c r="G56" s="96" t="s">
        <v>63</v>
      </c>
      <c r="H56" s="96"/>
      <c r="I56" s="80"/>
      <c r="J56" s="80"/>
      <c r="K56" s="80"/>
      <c r="L56" s="80"/>
      <c r="M56" s="2"/>
      <c r="N56" s="2"/>
      <c r="O56" s="2"/>
      <c r="P56" s="81"/>
      <c r="Q56" s="81"/>
      <c r="R56" s="81"/>
      <c r="S56" s="81"/>
      <c r="T56" s="82"/>
      <c r="U56" s="82"/>
      <c r="V56" s="82"/>
    </row>
    <row r="58" ht="15.75">
      <c r="A58" s="1" t="s">
        <v>99</v>
      </c>
    </row>
    <row r="59" spans="5:7" ht="15">
      <c r="E59" s="85" t="s">
        <v>100</v>
      </c>
      <c r="F59" s="85" t="s">
        <v>101</v>
      </c>
      <c r="G59" s="86" t="s">
        <v>102</v>
      </c>
    </row>
    <row r="60" spans="1:17" ht="35.25" customHeight="1">
      <c r="A60" s="93" t="s">
        <v>103</v>
      </c>
      <c r="B60" s="93"/>
      <c r="C60" s="93"/>
      <c r="D60" s="74" t="s">
        <v>104</v>
      </c>
      <c r="E60" s="74">
        <v>2</v>
      </c>
      <c r="F60" s="74">
        <v>1</v>
      </c>
      <c r="G60" s="97" t="s">
        <v>105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33" customHeight="1">
      <c r="A61" s="93" t="s">
        <v>106</v>
      </c>
      <c r="B61" s="93"/>
      <c r="C61" s="93"/>
      <c r="D61" s="74" t="s">
        <v>104</v>
      </c>
      <c r="E61" s="74">
        <v>2</v>
      </c>
      <c r="F61" s="74">
        <v>1</v>
      </c>
      <c r="G61" s="94" t="s">
        <v>107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32.25" customHeight="1">
      <c r="A62" s="93" t="s">
        <v>108</v>
      </c>
      <c r="B62" s="93"/>
      <c r="C62" s="93"/>
      <c r="D62" s="74" t="s">
        <v>104</v>
      </c>
      <c r="E62" s="74">
        <v>0</v>
      </c>
      <c r="F62" s="74">
        <v>0</v>
      </c>
      <c r="G62" s="92" t="s">
        <v>109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6" ht="22.5" customHeight="1">
      <c r="A63" s="93" t="s">
        <v>110</v>
      </c>
      <c r="B63" s="93"/>
      <c r="C63" s="93"/>
      <c r="D63" s="74" t="s">
        <v>111</v>
      </c>
      <c r="E63" s="19">
        <v>0</v>
      </c>
      <c r="F63" s="88">
        <v>0</v>
      </c>
    </row>
    <row r="65" spans="1:22" s="2" customFormat="1" ht="15.75">
      <c r="A65" s="1" t="s">
        <v>112</v>
      </c>
      <c r="F65" s="3"/>
      <c r="G65" s="3"/>
      <c r="H65" s="3"/>
      <c r="I65" s="3"/>
      <c r="J65" s="3"/>
      <c r="K65" s="3"/>
      <c r="L65" s="3"/>
      <c r="P65" s="4"/>
      <c r="Q65" s="4"/>
      <c r="R65" s="5"/>
      <c r="S65" s="5"/>
      <c r="T65" s="5"/>
      <c r="U65" s="5"/>
      <c r="V65" s="5"/>
    </row>
    <row r="66" spans="1:22" s="2" customFormat="1" ht="34.5" customHeight="1">
      <c r="A66" s="93" t="s">
        <v>113</v>
      </c>
      <c r="B66" s="93"/>
      <c r="C66" s="93"/>
      <c r="D66" s="74" t="s">
        <v>104</v>
      </c>
      <c r="E66" s="74">
        <v>8</v>
      </c>
      <c r="F66" s="3"/>
      <c r="G66" s="3"/>
      <c r="H66" s="3"/>
      <c r="I66" s="3"/>
      <c r="J66" s="3"/>
      <c r="K66" s="3"/>
      <c r="L66" s="3"/>
      <c r="P66" s="4"/>
      <c r="Q66" s="4"/>
      <c r="R66" s="5"/>
      <c r="S66" s="5"/>
      <c r="T66" s="5"/>
      <c r="U66" s="5"/>
      <c r="V66" s="5"/>
    </row>
    <row r="67" spans="1:22" s="2" customFormat="1" ht="26.25" customHeight="1">
      <c r="A67" s="93" t="s">
        <v>114</v>
      </c>
      <c r="B67" s="93"/>
      <c r="C67" s="93"/>
      <c r="D67" s="74" t="s">
        <v>104</v>
      </c>
      <c r="E67" s="74">
        <v>3</v>
      </c>
      <c r="F67" s="3"/>
      <c r="G67" s="3"/>
      <c r="H67" s="3"/>
      <c r="I67" s="3"/>
      <c r="J67" s="3"/>
      <c r="K67" s="3"/>
      <c r="L67" s="3"/>
      <c r="P67" s="4"/>
      <c r="Q67" s="4"/>
      <c r="R67" s="5"/>
      <c r="S67" s="5"/>
      <c r="T67" s="5"/>
      <c r="U67" s="5"/>
      <c r="V67" s="5"/>
    </row>
    <row r="68" spans="1:22" s="2" customFormat="1" ht="42.75" customHeight="1">
      <c r="A68" s="93" t="s">
        <v>115</v>
      </c>
      <c r="B68" s="93"/>
      <c r="C68" s="93"/>
      <c r="D68" s="74" t="s">
        <v>111</v>
      </c>
      <c r="E68" s="19">
        <v>27342.33</v>
      </c>
      <c r="F68" s="3"/>
      <c r="G68" s="3"/>
      <c r="H68" s="3"/>
      <c r="I68" s="3"/>
      <c r="J68" s="3"/>
      <c r="K68" s="3"/>
      <c r="L68" s="3"/>
      <c r="P68" s="4"/>
      <c r="Q68" s="4"/>
      <c r="R68" s="5"/>
      <c r="S68" s="5"/>
      <c r="T68" s="5"/>
      <c r="U68" s="5"/>
      <c r="V68" s="5"/>
    </row>
    <row r="72" spans="1:2" ht="15">
      <c r="A72" s="4" t="s">
        <v>116</v>
      </c>
      <c r="B72" s="6" t="s">
        <v>117</v>
      </c>
    </row>
  </sheetData>
  <sheetProtection/>
  <mergeCells count="74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6"/>
    <mergeCell ref="I27:I28"/>
    <mergeCell ref="E32:F32"/>
    <mergeCell ref="G32:H32"/>
    <mergeCell ref="I32:N32"/>
    <mergeCell ref="A33:C33"/>
    <mergeCell ref="E33:F33"/>
    <mergeCell ref="G33:H33"/>
    <mergeCell ref="I33:N33"/>
    <mergeCell ref="A34:C34"/>
    <mergeCell ref="E34:F34"/>
    <mergeCell ref="G34:H39"/>
    <mergeCell ref="I34:N39"/>
    <mergeCell ref="E35:F35"/>
    <mergeCell ref="E36:F36"/>
    <mergeCell ref="E37:F37"/>
    <mergeCell ref="E38:F38"/>
    <mergeCell ref="E39:F39"/>
    <mergeCell ref="A40:C40"/>
    <mergeCell ref="E40:F40"/>
    <mergeCell ref="G40:H43"/>
    <mergeCell ref="I40:N43"/>
    <mergeCell ref="E41:F41"/>
    <mergeCell ref="E42:F42"/>
    <mergeCell ref="E43:F43"/>
    <mergeCell ref="A44:C44"/>
    <mergeCell ref="E44:F44"/>
    <mergeCell ref="G44:H47"/>
    <mergeCell ref="I44:N47"/>
    <mergeCell ref="E45:F45"/>
    <mergeCell ref="E46:F46"/>
    <mergeCell ref="E47:F47"/>
    <mergeCell ref="E48:F48"/>
    <mergeCell ref="G48:H48"/>
    <mergeCell ref="I48:N48"/>
    <mergeCell ref="E49:F49"/>
    <mergeCell ref="G49:H49"/>
    <mergeCell ref="I49:N49"/>
    <mergeCell ref="E50:F50"/>
    <mergeCell ref="G50:H50"/>
    <mergeCell ref="I50:N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60:C60"/>
    <mergeCell ref="G60:Q60"/>
    <mergeCell ref="A61:C61"/>
    <mergeCell ref="G61:Q61"/>
    <mergeCell ref="A62:C62"/>
    <mergeCell ref="G62:Q62"/>
    <mergeCell ref="A63:C63"/>
    <mergeCell ref="A66:C66"/>
    <mergeCell ref="A67:C67"/>
    <mergeCell ref="A68:C68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86" zoomScaleNormal="86" zoomScalePageLayoutView="0" workbookViewId="0" topLeftCell="A1">
      <selection activeCell="K13" sqref="K13:K19"/>
    </sheetView>
  </sheetViews>
  <sheetFormatPr defaultColWidth="9.140625" defaultRowHeight="15"/>
  <cols>
    <col min="1" max="1" width="47.421875" style="4" customWidth="1"/>
    <col min="2" max="2" width="12.0039062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4.00390625" style="3" customWidth="1"/>
    <col min="8" max="8" width="14.14062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8515625" style="4" customWidth="1"/>
    <col min="17" max="17" width="8.14062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131</v>
      </c>
    </row>
    <row r="5" ht="15">
      <c r="A5" s="4" t="s">
        <v>3</v>
      </c>
    </row>
    <row r="6" ht="15">
      <c r="A6" s="4" t="s">
        <v>4</v>
      </c>
    </row>
    <row r="7" ht="15">
      <c r="A7" s="4" t="s">
        <v>132</v>
      </c>
    </row>
    <row r="8" ht="15">
      <c r="A8" s="4" t="s">
        <v>6</v>
      </c>
    </row>
    <row r="9" ht="15.75" thickBot="1"/>
    <row r="10" spans="1:22" s="8" customFormat="1" ht="15.75" customHeight="1">
      <c r="A10" s="139" t="s">
        <v>7</v>
      </c>
      <c r="B10" s="142" t="s">
        <v>8</v>
      </c>
      <c r="C10" s="135" t="s">
        <v>9</v>
      </c>
      <c r="D10" s="135" t="s">
        <v>10</v>
      </c>
      <c r="E10" s="135" t="s">
        <v>11</v>
      </c>
      <c r="F10" s="135" t="s">
        <v>12</v>
      </c>
      <c r="G10" s="135"/>
      <c r="H10" s="135"/>
      <c r="I10" s="135"/>
      <c r="J10" s="135"/>
      <c r="K10" s="135"/>
      <c r="L10" s="135" t="s">
        <v>13</v>
      </c>
      <c r="M10" s="135" t="s">
        <v>14</v>
      </c>
      <c r="N10" s="135" t="s">
        <v>15</v>
      </c>
      <c r="O10" s="137" t="s">
        <v>16</v>
      </c>
      <c r="P10" s="139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40"/>
      <c r="B11" s="143"/>
      <c r="C11" s="136"/>
      <c r="D11" s="136"/>
      <c r="E11" s="136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6"/>
      <c r="M11" s="136"/>
      <c r="N11" s="136"/>
      <c r="O11" s="138"/>
      <c r="P11" s="140"/>
      <c r="Q11" s="7"/>
      <c r="R11" s="7"/>
      <c r="S11" s="7"/>
      <c r="T11" s="7"/>
      <c r="U11" s="7"/>
      <c r="V11" s="7"/>
    </row>
    <row r="12" spans="1:22" s="16" customFormat="1" ht="15.75" customHeight="1">
      <c r="A12" s="10" t="s">
        <v>24</v>
      </c>
      <c r="B12" s="11">
        <f>SUM(B13:B19)</f>
        <v>0</v>
      </c>
      <c r="C12" s="12">
        <f>SUM(C13:C19)</f>
        <v>-591.54</v>
      </c>
      <c r="D12" s="12">
        <f>SUM(D13:D19)</f>
        <v>14359.67</v>
      </c>
      <c r="E12" s="12">
        <f>SUM(E13:E19)</f>
        <v>177237.89</v>
      </c>
      <c r="F12" s="12">
        <f>SUM(F13:F19)</f>
        <v>119046.91999999998</v>
      </c>
      <c r="G12" s="12">
        <v>0</v>
      </c>
      <c r="H12" s="12">
        <v>0</v>
      </c>
      <c r="I12" s="12">
        <v>0</v>
      </c>
      <c r="J12" s="12">
        <v>0</v>
      </c>
      <c r="K12" s="12">
        <f>SUM(K13:K19)</f>
        <v>118455.37999999999</v>
      </c>
      <c r="L12" s="12">
        <f>SUM(L13:L19)</f>
        <v>180301.05</v>
      </c>
      <c r="M12" s="12">
        <f>SUM(M13:M19)</f>
        <v>0</v>
      </c>
      <c r="N12" s="12">
        <f>SUM(N13:N19)</f>
        <v>-61845.67</v>
      </c>
      <c r="O12" s="13">
        <f>SUM(O13:O19)</f>
        <v>72550.64</v>
      </c>
      <c r="P12" s="14">
        <f aca="true" t="shared" si="0" ref="P12:P21">F12/(D12+E12)</f>
        <v>0.6213383928271319</v>
      </c>
      <c r="Q12" s="15"/>
      <c r="R12" s="15"/>
      <c r="S12" s="15"/>
      <c r="T12" s="15"/>
      <c r="U12" s="15"/>
      <c r="V12" s="15"/>
    </row>
    <row r="13" spans="1:22" s="23" customFormat="1" ht="60" customHeight="1">
      <c r="A13" s="17" t="s">
        <v>25</v>
      </c>
      <c r="B13" s="18">
        <v>0</v>
      </c>
      <c r="C13" s="19">
        <v>1931.99</v>
      </c>
      <c r="D13" s="19">
        <v>1357.2</v>
      </c>
      <c r="E13" s="19">
        <v>24799.18</v>
      </c>
      <c r="F13" s="19">
        <v>16674.15</v>
      </c>
      <c r="G13" s="19">
        <v>0</v>
      </c>
      <c r="H13" s="19">
        <v>0</v>
      </c>
      <c r="I13" s="19">
        <v>0</v>
      </c>
      <c r="J13" s="19">
        <v>0</v>
      </c>
      <c r="K13" s="19">
        <f>F13+G13+H13+I13+J13+C13</f>
        <v>18606.140000000003</v>
      </c>
      <c r="L13" s="19">
        <f>D34</f>
        <v>24797</v>
      </c>
      <c r="M13" s="19">
        <v>0</v>
      </c>
      <c r="N13" s="19">
        <f>K13-L13</f>
        <v>-6190.859999999997</v>
      </c>
      <c r="O13" s="20">
        <f>D13+E13-F13</f>
        <v>9482.23</v>
      </c>
      <c r="P13" s="21">
        <f t="shared" si="0"/>
        <v>0.6374792689202405</v>
      </c>
      <c r="Q13" s="22"/>
      <c r="R13" s="22"/>
      <c r="S13" s="22"/>
      <c r="T13" s="22"/>
      <c r="U13" s="22"/>
      <c r="V13" s="22"/>
    </row>
    <row r="14" spans="1:22" s="23" customFormat="1" ht="29.25" customHeight="1">
      <c r="A14" s="17" t="s">
        <v>26</v>
      </c>
      <c r="B14" s="18">
        <v>0</v>
      </c>
      <c r="C14" s="19">
        <v>554.26</v>
      </c>
      <c r="D14" s="19">
        <v>389.36</v>
      </c>
      <c r="E14" s="19">
        <v>7126.2</v>
      </c>
      <c r="F14" s="19">
        <v>4792.01</v>
      </c>
      <c r="G14" s="19">
        <v>0</v>
      </c>
      <c r="H14" s="19">
        <v>0</v>
      </c>
      <c r="I14" s="19">
        <v>0</v>
      </c>
      <c r="J14" s="19">
        <v>0</v>
      </c>
      <c r="K14" s="19">
        <f aca="true" t="shared" si="1" ref="K14:K20">F14+G14+H14+I14+J14+C14</f>
        <v>5346.27</v>
      </c>
      <c r="L14" s="19">
        <f>D40</f>
        <v>9163</v>
      </c>
      <c r="M14" s="19">
        <v>0</v>
      </c>
      <c r="N14" s="19">
        <f aca="true" t="shared" si="2" ref="N14:N20">K14-L14</f>
        <v>-3816.7299999999996</v>
      </c>
      <c r="O14" s="20">
        <f aca="true" t="shared" si="3" ref="O14:O19">D14+E14-F14</f>
        <v>2723.5499999999993</v>
      </c>
      <c r="P14" s="21">
        <f t="shared" si="0"/>
        <v>0.6376118346470523</v>
      </c>
      <c r="Q14" s="22"/>
      <c r="R14" s="22"/>
      <c r="S14" s="22"/>
      <c r="T14" s="22"/>
      <c r="U14" s="22"/>
      <c r="V14" s="22"/>
    </row>
    <row r="15" spans="1:22" s="23" customFormat="1" ht="62.25" customHeight="1">
      <c r="A15" s="17" t="s">
        <v>27</v>
      </c>
      <c r="B15" s="18">
        <v>0</v>
      </c>
      <c r="C15" s="19">
        <v>-280.51</v>
      </c>
      <c r="D15" s="19">
        <v>1045.73</v>
      </c>
      <c r="E15" s="19">
        <v>19098.22</v>
      </c>
      <c r="F15" s="19">
        <v>12840.54</v>
      </c>
      <c r="G15" s="19">
        <v>0</v>
      </c>
      <c r="H15" s="19">
        <v>0</v>
      </c>
      <c r="I15" s="19">
        <v>0</v>
      </c>
      <c r="J15" s="19">
        <v>0</v>
      </c>
      <c r="K15" s="19">
        <f t="shared" si="1"/>
        <v>12560.03</v>
      </c>
      <c r="L15" s="19">
        <f>D44</f>
        <v>20790.71</v>
      </c>
      <c r="M15" s="19">
        <v>0</v>
      </c>
      <c r="N15" s="19">
        <f t="shared" si="2"/>
        <v>-8230.679999999998</v>
      </c>
      <c r="O15" s="20">
        <f t="shared" si="3"/>
        <v>7303.41</v>
      </c>
      <c r="P15" s="21">
        <f t="shared" si="0"/>
        <v>0.637439032563127</v>
      </c>
      <c r="Q15" s="22"/>
      <c r="R15" s="22"/>
      <c r="S15" s="22"/>
      <c r="T15" s="22"/>
      <c r="U15" s="22"/>
      <c r="V15" s="22"/>
    </row>
    <row r="16" spans="1:22" s="23" customFormat="1" ht="19.5" customHeight="1">
      <c r="A16" s="17" t="s">
        <v>28</v>
      </c>
      <c r="B16" s="18">
        <v>0</v>
      </c>
      <c r="C16" s="19">
        <v>1626</v>
      </c>
      <c r="D16" s="19">
        <v>1142.24</v>
      </c>
      <c r="E16" s="19">
        <v>20366.47</v>
      </c>
      <c r="F16" s="19">
        <v>13569.38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15195.38</v>
      </c>
      <c r="L16" s="19">
        <f>D49</f>
        <v>20366.47</v>
      </c>
      <c r="M16" s="19">
        <v>0</v>
      </c>
      <c r="N16" s="19">
        <f t="shared" si="2"/>
        <v>-5171.090000000002</v>
      </c>
      <c r="O16" s="20">
        <f t="shared" si="3"/>
        <v>7939.330000000004</v>
      </c>
      <c r="P16" s="21">
        <f>F16/(D16+E16)</f>
        <v>0.630878374388794</v>
      </c>
      <c r="Q16" s="22"/>
      <c r="R16" s="22"/>
      <c r="S16" s="22"/>
      <c r="T16" s="22"/>
      <c r="U16" s="22"/>
      <c r="V16" s="22"/>
    </row>
    <row r="17" spans="1:22" s="23" customFormat="1" ht="28.5" customHeight="1">
      <c r="A17" s="17" t="s">
        <v>29</v>
      </c>
      <c r="B17" s="18">
        <v>0</v>
      </c>
      <c r="C17" s="19">
        <v>-753.75</v>
      </c>
      <c r="D17" s="19">
        <v>5825.12</v>
      </c>
      <c r="E17" s="19">
        <v>21758.66</v>
      </c>
      <c r="F17" s="19">
        <v>14630.24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13876.49</v>
      </c>
      <c r="L17" s="19">
        <f>D50</f>
        <v>21758.66</v>
      </c>
      <c r="M17" s="19">
        <v>0</v>
      </c>
      <c r="N17" s="19">
        <f t="shared" si="2"/>
        <v>-7882.17</v>
      </c>
      <c r="O17" s="20">
        <f t="shared" si="3"/>
        <v>12953.539999999999</v>
      </c>
      <c r="P17" s="21">
        <f t="shared" si="0"/>
        <v>0.5303928613119739</v>
      </c>
      <c r="Q17" s="22"/>
      <c r="R17" s="22"/>
      <c r="S17" s="22"/>
      <c r="T17" s="22"/>
      <c r="U17" s="22"/>
      <c r="V17" s="22"/>
    </row>
    <row r="18" spans="1:22" s="23" customFormat="1" ht="15" customHeight="1">
      <c r="A18" s="17" t="s">
        <v>30</v>
      </c>
      <c r="B18" s="18">
        <v>0</v>
      </c>
      <c r="C18" s="19">
        <v>-2985.99</v>
      </c>
      <c r="D18" s="19">
        <v>2180.42</v>
      </c>
      <c r="E18" s="19">
        <v>39859.21</v>
      </c>
      <c r="F18" s="19">
        <v>26800.92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23814.93</v>
      </c>
      <c r="L18" s="19">
        <f>D51</f>
        <v>39859.21</v>
      </c>
      <c r="M18" s="19">
        <v>0</v>
      </c>
      <c r="N18" s="19">
        <f t="shared" si="2"/>
        <v>-16044.279999999999</v>
      </c>
      <c r="O18" s="20">
        <f t="shared" si="3"/>
        <v>15238.71</v>
      </c>
      <c r="P18" s="21">
        <f t="shared" si="0"/>
        <v>0.63751560135044</v>
      </c>
      <c r="Q18" s="22"/>
      <c r="R18" s="22"/>
      <c r="S18" s="22"/>
      <c r="T18" s="22"/>
      <c r="U18" s="22"/>
      <c r="V18" s="22"/>
    </row>
    <row r="19" spans="1:22" s="23" customFormat="1" ht="18" customHeight="1">
      <c r="A19" s="17" t="s">
        <v>31</v>
      </c>
      <c r="B19" s="18">
        <v>0</v>
      </c>
      <c r="C19" s="19">
        <v>-683.54</v>
      </c>
      <c r="D19" s="19">
        <v>2419.6</v>
      </c>
      <c r="E19" s="19">
        <v>44229.95</v>
      </c>
      <c r="F19" s="19">
        <v>29739.68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29056.14</v>
      </c>
      <c r="L19" s="19">
        <f>D52</f>
        <v>43566</v>
      </c>
      <c r="M19" s="19">
        <v>0</v>
      </c>
      <c r="N19" s="19">
        <f t="shared" si="2"/>
        <v>-14509.86</v>
      </c>
      <c r="O19" s="20">
        <f t="shared" si="3"/>
        <v>16909.869999999995</v>
      </c>
      <c r="P19" s="21">
        <f t="shared" si="0"/>
        <v>0.6375126876893775</v>
      </c>
      <c r="Q19" s="22"/>
      <c r="R19" s="22"/>
      <c r="S19" s="22"/>
      <c r="T19" s="22"/>
      <c r="U19" s="22"/>
      <c r="V19" s="22"/>
    </row>
    <row r="20" spans="1:22" s="16" customFormat="1" ht="18.75" customHeight="1" thickBot="1">
      <c r="A20" s="24" t="s">
        <v>32</v>
      </c>
      <c r="B20" s="25">
        <v>0</v>
      </c>
      <c r="C20" s="26">
        <v>1310.8</v>
      </c>
      <c r="D20" s="26">
        <v>657.29</v>
      </c>
      <c r="E20" s="26">
        <v>50540.85</v>
      </c>
      <c r="F20" s="26">
        <v>31409.19</v>
      </c>
      <c r="G20" s="26">
        <v>0</v>
      </c>
      <c r="H20" s="26">
        <v>0</v>
      </c>
      <c r="I20" s="26">
        <v>0</v>
      </c>
      <c r="J20" s="26">
        <v>0</v>
      </c>
      <c r="K20" s="27">
        <f t="shared" si="1"/>
        <v>32719.989999999998</v>
      </c>
      <c r="L20" s="27">
        <f>E20+C20</f>
        <v>51851.65</v>
      </c>
      <c r="M20" s="26">
        <v>0</v>
      </c>
      <c r="N20" s="27">
        <f t="shared" si="2"/>
        <v>-19131.660000000003</v>
      </c>
      <c r="O20" s="28">
        <f>D20+E20-F20</f>
        <v>19788.95</v>
      </c>
      <c r="P20" s="29">
        <f t="shared" si="0"/>
        <v>0.6134830288756583</v>
      </c>
      <c r="Q20" s="15"/>
      <c r="R20" s="15"/>
      <c r="S20" s="15"/>
      <c r="T20" s="15"/>
      <c r="U20" s="15"/>
      <c r="V20" s="15"/>
    </row>
    <row r="21" spans="1:22" s="16" customFormat="1" ht="17.25" customHeight="1" thickBot="1">
      <c r="A21" s="30" t="s">
        <v>33</v>
      </c>
      <c r="B21" s="31">
        <f aca="true" t="shared" si="4" ref="B21:O21">SUM(B13:B20)</f>
        <v>0</v>
      </c>
      <c r="C21" s="32">
        <f t="shared" si="4"/>
        <v>719.26</v>
      </c>
      <c r="D21" s="32">
        <f t="shared" si="4"/>
        <v>15016.96</v>
      </c>
      <c r="E21" s="32">
        <f t="shared" si="4"/>
        <v>227778.74000000002</v>
      </c>
      <c r="F21" s="32">
        <f t="shared" si="4"/>
        <v>150456.11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151175.37</v>
      </c>
      <c r="L21" s="32">
        <f t="shared" si="4"/>
        <v>232152.69999999998</v>
      </c>
      <c r="M21" s="32">
        <f t="shared" si="4"/>
        <v>0</v>
      </c>
      <c r="N21" s="32">
        <f t="shared" si="4"/>
        <v>-80977.33</v>
      </c>
      <c r="O21" s="33">
        <f t="shared" si="4"/>
        <v>92339.59</v>
      </c>
      <c r="P21" s="34">
        <f t="shared" si="0"/>
        <v>0.6196819383539328</v>
      </c>
      <c r="Q21" s="15"/>
      <c r="R21" s="15"/>
      <c r="S21" s="15"/>
      <c r="T21" s="15"/>
      <c r="U21" s="15"/>
      <c r="V21" s="15"/>
    </row>
    <row r="22" spans="1:17" ht="15.75" thickBot="1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6"/>
      <c r="N22" s="36"/>
      <c r="O22" s="36"/>
      <c r="P22" s="35"/>
      <c r="Q22" s="35"/>
    </row>
    <row r="23" spans="1:22" s="8" customFormat="1" ht="86.25" customHeight="1" thickBot="1">
      <c r="A23" s="38" t="s">
        <v>34</v>
      </c>
      <c r="B23" s="39" t="s">
        <v>35</v>
      </c>
      <c r="C23" s="40" t="s">
        <v>36</v>
      </c>
      <c r="D23" s="40" t="s">
        <v>8</v>
      </c>
      <c r="E23" s="40" t="s">
        <v>9</v>
      </c>
      <c r="F23" s="40" t="s">
        <v>10</v>
      </c>
      <c r="G23" s="40" t="s">
        <v>37</v>
      </c>
      <c r="H23" s="40" t="s">
        <v>38</v>
      </c>
      <c r="I23" s="40" t="s">
        <v>39</v>
      </c>
      <c r="J23" s="40" t="s">
        <v>40</v>
      </c>
      <c r="K23" s="40" t="s">
        <v>41</v>
      </c>
      <c r="L23" s="40" t="s">
        <v>42</v>
      </c>
      <c r="M23" s="40" t="s">
        <v>43</v>
      </c>
      <c r="N23" s="40" t="s">
        <v>14</v>
      </c>
      <c r="O23" s="40" t="s">
        <v>15</v>
      </c>
      <c r="P23" s="41" t="s">
        <v>16</v>
      </c>
      <c r="Q23" s="42" t="s">
        <v>17</v>
      </c>
      <c r="R23" s="7"/>
      <c r="S23" s="7"/>
      <c r="T23" s="7"/>
      <c r="U23" s="7"/>
      <c r="V23" s="7"/>
    </row>
    <row r="24" spans="1:22" s="50" customFormat="1" ht="17.25" customHeight="1">
      <c r="A24" s="43" t="s">
        <v>44</v>
      </c>
      <c r="B24" s="44" t="s">
        <v>45</v>
      </c>
      <c r="C24" s="45">
        <v>2319.952</v>
      </c>
      <c r="D24" s="46">
        <v>0</v>
      </c>
      <c r="E24" s="46">
        <v>-1740.86</v>
      </c>
      <c r="F24" s="46">
        <v>6503.21</v>
      </c>
      <c r="G24" s="46">
        <v>35047.19</v>
      </c>
      <c r="H24" s="46">
        <v>26733.88</v>
      </c>
      <c r="I24" s="141" t="s">
        <v>46</v>
      </c>
      <c r="J24" s="46">
        <v>35047.19</v>
      </c>
      <c r="K24" s="46">
        <v>25610.88</v>
      </c>
      <c r="L24" s="46">
        <f>J24-K24</f>
        <v>9436.310000000001</v>
      </c>
      <c r="M24" s="46">
        <v>0</v>
      </c>
      <c r="N24" s="46">
        <v>0</v>
      </c>
      <c r="O24" s="46">
        <f>E24+H24-J24</f>
        <v>-10054.170000000002</v>
      </c>
      <c r="P24" s="47">
        <f>F24+G24-H24</f>
        <v>14816.52</v>
      </c>
      <c r="Q24" s="48">
        <f aca="true" t="shared" si="5" ref="Q24:Q29">H24/(F24+G24)</f>
        <v>0.6434084870422426</v>
      </c>
      <c r="R24" s="49"/>
      <c r="S24" s="49"/>
      <c r="T24" s="49"/>
      <c r="U24" s="49"/>
      <c r="V24" s="49"/>
    </row>
    <row r="25" spans="1:22" s="50" customFormat="1" ht="17.25" customHeight="1">
      <c r="A25" s="51" t="s">
        <v>47</v>
      </c>
      <c r="B25" s="52" t="s">
        <v>48</v>
      </c>
      <c r="C25" s="53">
        <v>62.206</v>
      </c>
      <c r="D25" s="19">
        <v>0</v>
      </c>
      <c r="E25" s="19">
        <v>-4162.86</v>
      </c>
      <c r="F25" s="19">
        <v>15532.66</v>
      </c>
      <c r="G25" s="19">
        <v>88961.33</v>
      </c>
      <c r="H25" s="19">
        <v>67267.88</v>
      </c>
      <c r="I25" s="126"/>
      <c r="J25" s="19">
        <v>88961.33</v>
      </c>
      <c r="K25" s="19">
        <v>64442.18</v>
      </c>
      <c r="L25" s="46">
        <f>J25-K25</f>
        <v>24519.15</v>
      </c>
      <c r="M25" s="19">
        <v>0</v>
      </c>
      <c r="N25" s="19">
        <v>0</v>
      </c>
      <c r="O25" s="46">
        <f>E25+H25-J25</f>
        <v>-25856.309999999998</v>
      </c>
      <c r="P25" s="47">
        <f>F25+G25-H25</f>
        <v>37226.11</v>
      </c>
      <c r="Q25" s="48">
        <f t="shared" si="5"/>
        <v>0.6437487935909041</v>
      </c>
      <c r="R25" s="49"/>
      <c r="S25" s="49"/>
      <c r="T25" s="49"/>
      <c r="U25" s="49"/>
      <c r="V25" s="49"/>
    </row>
    <row r="26" spans="1:22" s="50" customFormat="1" ht="17.25" customHeight="1">
      <c r="A26" s="51" t="s">
        <v>49</v>
      </c>
      <c r="B26" s="52" t="s">
        <v>48</v>
      </c>
      <c r="C26" s="53">
        <v>176.097</v>
      </c>
      <c r="D26" s="19">
        <v>0</v>
      </c>
      <c r="E26" s="19">
        <v>-35538.74</v>
      </c>
      <c r="F26" s="19">
        <v>52791.81</v>
      </c>
      <c r="G26" s="19">
        <v>184072.3</v>
      </c>
      <c r="H26" s="19">
        <v>141199.96</v>
      </c>
      <c r="I26" s="126"/>
      <c r="J26" s="19">
        <v>184072.3</v>
      </c>
      <c r="K26" s="19">
        <v>135268.62</v>
      </c>
      <c r="L26" s="46">
        <f>J26-K26</f>
        <v>48803.67999999999</v>
      </c>
      <c r="M26" s="19">
        <v>0</v>
      </c>
      <c r="N26" s="19">
        <v>0</v>
      </c>
      <c r="O26" s="46">
        <f>E26+H26-J26</f>
        <v>-78411.07999999999</v>
      </c>
      <c r="P26" s="47">
        <f>F26+G26-H26</f>
        <v>95664.15</v>
      </c>
      <c r="Q26" s="48">
        <f t="shared" si="5"/>
        <v>0.5961222238354303</v>
      </c>
      <c r="R26" s="49"/>
      <c r="S26" s="49"/>
      <c r="T26" s="49"/>
      <c r="U26" s="49"/>
      <c r="V26" s="49"/>
    </row>
    <row r="27" spans="1:22" s="50" customFormat="1" ht="17.25" customHeight="1">
      <c r="A27" s="51" t="s">
        <v>50</v>
      </c>
      <c r="B27" s="52" t="s">
        <v>45</v>
      </c>
      <c r="C27" s="53">
        <f>1984.287+208.228</f>
        <v>2192.515</v>
      </c>
      <c r="D27" s="19">
        <v>0</v>
      </c>
      <c r="E27" s="19">
        <v>0</v>
      </c>
      <c r="F27" s="19">
        <v>4284.01</v>
      </c>
      <c r="G27" s="19">
        <v>40511.65</v>
      </c>
      <c r="H27" s="19">
        <v>27827.45</v>
      </c>
      <c r="I27" s="126" t="s">
        <v>51</v>
      </c>
      <c r="J27" s="19">
        <v>40511.65</v>
      </c>
      <c r="K27" s="19">
        <v>27215.33</v>
      </c>
      <c r="L27" s="46">
        <f>J27-K27</f>
        <v>13296.32</v>
      </c>
      <c r="M27" s="19">
        <v>0</v>
      </c>
      <c r="N27" s="19">
        <v>0</v>
      </c>
      <c r="O27" s="46">
        <f>E27+H27-J27</f>
        <v>-12684.2</v>
      </c>
      <c r="P27" s="47">
        <f>F27+G27-H27</f>
        <v>16968.210000000003</v>
      </c>
      <c r="Q27" s="48">
        <f t="shared" si="5"/>
        <v>0.62120861708478</v>
      </c>
      <c r="R27" s="49"/>
      <c r="S27" s="49"/>
      <c r="T27" s="49"/>
      <c r="U27" s="49"/>
      <c r="V27" s="49"/>
    </row>
    <row r="28" spans="1:22" s="50" customFormat="1" ht="17.25" customHeight="1" thickBot="1">
      <c r="A28" s="54" t="s">
        <v>52</v>
      </c>
      <c r="B28" s="55" t="s">
        <v>45</v>
      </c>
      <c r="C28" s="56">
        <f>3057.754+333.273</f>
        <v>3391.027</v>
      </c>
      <c r="D28" s="57">
        <v>0</v>
      </c>
      <c r="E28" s="57">
        <v>0</v>
      </c>
      <c r="F28" s="57">
        <v>5919.11</v>
      </c>
      <c r="G28" s="57">
        <v>84791.07</v>
      </c>
      <c r="H28" s="57">
        <v>55762.07</v>
      </c>
      <c r="I28" s="127"/>
      <c r="J28" s="57">
        <v>84791.07</v>
      </c>
      <c r="K28" s="57">
        <v>54541.96</v>
      </c>
      <c r="L28" s="46">
        <f>J28-K28</f>
        <v>30249.110000000008</v>
      </c>
      <c r="M28" s="57">
        <v>0</v>
      </c>
      <c r="N28" s="57">
        <v>0</v>
      </c>
      <c r="O28" s="46">
        <f>E28+H28-J28</f>
        <v>-29029.000000000007</v>
      </c>
      <c r="P28" s="47">
        <f>F28+G28-H28</f>
        <v>34948.11000000001</v>
      </c>
      <c r="Q28" s="58">
        <f t="shared" si="5"/>
        <v>0.6147278067356938</v>
      </c>
      <c r="R28" s="49"/>
      <c r="S28" s="49"/>
      <c r="T28" s="49"/>
      <c r="U28" s="49"/>
      <c r="V28" s="49"/>
    </row>
    <row r="29" spans="1:22" s="63" customFormat="1" ht="17.25" customHeight="1" thickBot="1">
      <c r="A29" s="59" t="s">
        <v>53</v>
      </c>
      <c r="B29" s="60"/>
      <c r="C29" s="61"/>
      <c r="D29" s="32">
        <f>SUM(D24:D28)</f>
        <v>0</v>
      </c>
      <c r="E29" s="32">
        <f aca="true" t="shared" si="6" ref="E29:P29">SUM(E24:E28)</f>
        <v>-41442.46</v>
      </c>
      <c r="F29" s="32">
        <f t="shared" si="6"/>
        <v>85030.79999999999</v>
      </c>
      <c r="G29" s="32">
        <f t="shared" si="6"/>
        <v>433383.54000000004</v>
      </c>
      <c r="H29" s="32">
        <f t="shared" si="6"/>
        <v>318791.24</v>
      </c>
      <c r="I29" s="32"/>
      <c r="J29" s="32">
        <f t="shared" si="6"/>
        <v>433383.54000000004</v>
      </c>
      <c r="K29" s="32">
        <f t="shared" si="6"/>
        <v>307078.97000000003</v>
      </c>
      <c r="L29" s="32">
        <f t="shared" si="6"/>
        <v>126304.57</v>
      </c>
      <c r="M29" s="32">
        <f t="shared" si="6"/>
        <v>0</v>
      </c>
      <c r="N29" s="32">
        <f t="shared" si="6"/>
        <v>0</v>
      </c>
      <c r="O29" s="32">
        <f t="shared" si="6"/>
        <v>-156034.75999999998</v>
      </c>
      <c r="P29" s="33">
        <f t="shared" si="6"/>
        <v>199623.1</v>
      </c>
      <c r="Q29" s="34">
        <f t="shared" si="5"/>
        <v>0.6149352272932882</v>
      </c>
      <c r="R29" s="62"/>
      <c r="S29" s="62"/>
      <c r="T29" s="62"/>
      <c r="U29" s="62"/>
      <c r="V29" s="62"/>
    </row>
    <row r="30" spans="1:17" ht="15">
      <c r="A30" s="35"/>
      <c r="B30" s="36"/>
      <c r="C30" s="36"/>
      <c r="D30" s="36"/>
      <c r="E30" s="36"/>
      <c r="F30" s="64"/>
      <c r="G30" s="64"/>
      <c r="H30" s="64"/>
      <c r="I30" s="37"/>
      <c r="J30" s="37"/>
      <c r="K30" s="64"/>
      <c r="L30" s="37"/>
      <c r="M30" s="36"/>
      <c r="N30" s="36"/>
      <c r="O30" s="36"/>
      <c r="P30" s="35"/>
      <c r="Q30" s="35"/>
    </row>
    <row r="31" spans="1:22" s="67" customFormat="1" ht="15">
      <c r="A31" s="65" t="s">
        <v>54</v>
      </c>
      <c r="B31" s="2"/>
      <c r="C31" s="2"/>
      <c r="D31" s="2"/>
      <c r="E31" s="2"/>
      <c r="F31" s="3"/>
      <c r="G31" s="37"/>
      <c r="H31" s="37"/>
      <c r="I31" s="37"/>
      <c r="J31" s="37"/>
      <c r="K31" s="37"/>
      <c r="L31" s="37"/>
      <c r="M31" s="2"/>
      <c r="N31" s="2"/>
      <c r="O31" s="2"/>
      <c r="P31" s="35"/>
      <c r="Q31" s="35"/>
      <c r="R31" s="35"/>
      <c r="S31" s="35"/>
      <c r="T31" s="66"/>
      <c r="U31" s="66"/>
      <c r="V31" s="66"/>
    </row>
    <row r="32" spans="1:22" s="67" customFormat="1" ht="49.5" customHeight="1">
      <c r="A32" s="68" t="s">
        <v>55</v>
      </c>
      <c r="B32" s="68" t="s">
        <v>35</v>
      </c>
      <c r="C32" s="68" t="s">
        <v>56</v>
      </c>
      <c r="D32" s="68" t="s">
        <v>57</v>
      </c>
      <c r="E32" s="128" t="s">
        <v>58</v>
      </c>
      <c r="F32" s="128"/>
      <c r="G32" s="128" t="s">
        <v>59</v>
      </c>
      <c r="H32" s="128"/>
      <c r="I32" s="129" t="s">
        <v>60</v>
      </c>
      <c r="J32" s="129"/>
      <c r="K32" s="129"/>
      <c r="L32" s="129"/>
      <c r="M32" s="129"/>
      <c r="N32" s="129"/>
      <c r="O32" s="69"/>
      <c r="P32" s="69"/>
      <c r="Q32" s="69"/>
      <c r="R32" s="69"/>
      <c r="S32" s="35"/>
      <c r="T32" s="66"/>
      <c r="U32" s="66"/>
      <c r="V32" s="66"/>
    </row>
    <row r="33" spans="1:22" s="67" customFormat="1" ht="15.75">
      <c r="A33" s="130" t="s">
        <v>61</v>
      </c>
      <c r="B33" s="131"/>
      <c r="C33" s="132"/>
      <c r="D33" s="27">
        <f>D34+D40+D44+D49+D50+D51+D52</f>
        <v>180301.05</v>
      </c>
      <c r="E33" s="133"/>
      <c r="F33" s="133"/>
      <c r="G33" s="101"/>
      <c r="H33" s="101"/>
      <c r="I33" s="134"/>
      <c r="J33" s="134"/>
      <c r="K33" s="134"/>
      <c r="L33" s="134"/>
      <c r="M33" s="134"/>
      <c r="N33" s="134"/>
      <c r="O33" s="70"/>
      <c r="P33" s="70"/>
      <c r="Q33" s="70"/>
      <c r="R33" s="70"/>
      <c r="S33" s="35"/>
      <c r="T33" s="66"/>
      <c r="U33" s="66"/>
      <c r="V33" s="66"/>
    </row>
    <row r="34" spans="1:22" s="67" customFormat="1" ht="41.25" customHeight="1">
      <c r="A34" s="117" t="s">
        <v>62</v>
      </c>
      <c r="B34" s="118"/>
      <c r="C34" s="119"/>
      <c r="D34" s="71">
        <f>SUM(D35:D39)</f>
        <v>24797</v>
      </c>
      <c r="E34" s="95"/>
      <c r="F34" s="95"/>
      <c r="G34" s="120" t="s">
        <v>63</v>
      </c>
      <c r="H34" s="121"/>
      <c r="I34" s="108" t="s">
        <v>64</v>
      </c>
      <c r="J34" s="109"/>
      <c r="K34" s="109"/>
      <c r="L34" s="109"/>
      <c r="M34" s="109"/>
      <c r="N34" s="110"/>
      <c r="O34" s="72"/>
      <c r="P34" s="72"/>
      <c r="Q34" s="72"/>
      <c r="R34" s="72"/>
      <c r="S34" s="35"/>
      <c r="T34" s="66"/>
      <c r="U34" s="66"/>
      <c r="V34" s="66"/>
    </row>
    <row r="35" spans="1:22" s="67" customFormat="1" ht="30.75" customHeight="1">
      <c r="A35" s="73" t="s">
        <v>65</v>
      </c>
      <c r="B35" s="74" t="s">
        <v>66</v>
      </c>
      <c r="C35" s="19">
        <f>32*137</f>
        <v>4384</v>
      </c>
      <c r="D35" s="19">
        <f>C35</f>
        <v>4384</v>
      </c>
      <c r="E35" s="95" t="s">
        <v>67</v>
      </c>
      <c r="F35" s="95"/>
      <c r="G35" s="122"/>
      <c r="H35" s="123"/>
      <c r="I35" s="111"/>
      <c r="J35" s="112"/>
      <c r="K35" s="112"/>
      <c r="L35" s="112"/>
      <c r="M35" s="112"/>
      <c r="N35" s="113"/>
      <c r="O35" s="72"/>
      <c r="P35" s="72"/>
      <c r="Q35" s="72"/>
      <c r="R35" s="72"/>
      <c r="S35" s="35"/>
      <c r="T35" s="66"/>
      <c r="U35" s="66"/>
      <c r="V35" s="66"/>
    </row>
    <row r="36" spans="1:22" s="67" customFormat="1" ht="30.75" customHeight="1">
      <c r="A36" s="73" t="s">
        <v>68</v>
      </c>
      <c r="B36" s="74" t="s">
        <v>66</v>
      </c>
      <c r="C36" s="19">
        <f>89*137</f>
        <v>12193</v>
      </c>
      <c r="D36" s="19">
        <f>C36</f>
        <v>12193</v>
      </c>
      <c r="E36" s="95" t="s">
        <v>69</v>
      </c>
      <c r="F36" s="95"/>
      <c r="G36" s="122"/>
      <c r="H36" s="123"/>
      <c r="I36" s="111"/>
      <c r="J36" s="112"/>
      <c r="K36" s="112"/>
      <c r="L36" s="112"/>
      <c r="M36" s="112"/>
      <c r="N36" s="113"/>
      <c r="O36" s="72"/>
      <c r="P36" s="72"/>
      <c r="Q36" s="72"/>
      <c r="R36" s="72"/>
      <c r="S36" s="35"/>
      <c r="T36" s="66"/>
      <c r="U36" s="66"/>
      <c r="V36" s="66"/>
    </row>
    <row r="37" spans="1:22" s="67" customFormat="1" ht="15.75" customHeight="1">
      <c r="A37" s="73" t="s">
        <v>70</v>
      </c>
      <c r="B37" s="74" t="s">
        <v>66</v>
      </c>
      <c r="C37" s="19">
        <f>20*137</f>
        <v>2740</v>
      </c>
      <c r="D37" s="19">
        <f>C37</f>
        <v>2740</v>
      </c>
      <c r="E37" s="95" t="s">
        <v>71</v>
      </c>
      <c r="F37" s="95"/>
      <c r="G37" s="122"/>
      <c r="H37" s="123"/>
      <c r="I37" s="111"/>
      <c r="J37" s="112"/>
      <c r="K37" s="112"/>
      <c r="L37" s="112"/>
      <c r="M37" s="112"/>
      <c r="N37" s="113"/>
      <c r="O37" s="72"/>
      <c r="P37" s="72"/>
      <c r="Q37" s="72"/>
      <c r="R37" s="72"/>
      <c r="S37" s="35"/>
      <c r="T37" s="66"/>
      <c r="U37" s="66"/>
      <c r="V37" s="66"/>
    </row>
    <row r="38" spans="1:22" s="67" customFormat="1" ht="27" customHeight="1">
      <c r="A38" s="73" t="s">
        <v>72</v>
      </c>
      <c r="B38" s="74" t="s">
        <v>66</v>
      </c>
      <c r="C38" s="19">
        <f>24*137</f>
        <v>3288</v>
      </c>
      <c r="D38" s="19">
        <f>C38</f>
        <v>3288</v>
      </c>
      <c r="E38" s="95" t="s">
        <v>69</v>
      </c>
      <c r="F38" s="95"/>
      <c r="G38" s="122"/>
      <c r="H38" s="123"/>
      <c r="I38" s="111"/>
      <c r="J38" s="112"/>
      <c r="K38" s="112"/>
      <c r="L38" s="112"/>
      <c r="M38" s="112"/>
      <c r="N38" s="113"/>
      <c r="O38" s="72"/>
      <c r="P38" s="72"/>
      <c r="Q38" s="72"/>
      <c r="R38" s="72"/>
      <c r="S38" s="35"/>
      <c r="T38" s="66"/>
      <c r="U38" s="66"/>
      <c r="V38" s="66"/>
    </row>
    <row r="39" spans="1:22" s="67" customFormat="1" ht="29.25" customHeight="1">
      <c r="A39" s="73" t="s">
        <v>73</v>
      </c>
      <c r="B39" s="74" t="s">
        <v>66</v>
      </c>
      <c r="C39" s="19">
        <f>16*137</f>
        <v>2192</v>
      </c>
      <c r="D39" s="19">
        <f>C39</f>
        <v>2192</v>
      </c>
      <c r="E39" s="95" t="s">
        <v>74</v>
      </c>
      <c r="F39" s="95"/>
      <c r="G39" s="124"/>
      <c r="H39" s="125"/>
      <c r="I39" s="114"/>
      <c r="J39" s="115"/>
      <c r="K39" s="115"/>
      <c r="L39" s="115"/>
      <c r="M39" s="115"/>
      <c r="N39" s="116"/>
      <c r="O39" s="72"/>
      <c r="P39" s="72"/>
      <c r="Q39" s="72"/>
      <c r="R39" s="72"/>
      <c r="S39" s="35"/>
      <c r="T39" s="66"/>
      <c r="U39" s="66"/>
      <c r="V39" s="66"/>
    </row>
    <row r="40" spans="1:22" s="67" customFormat="1" ht="28.5" customHeight="1">
      <c r="A40" s="103" t="s">
        <v>75</v>
      </c>
      <c r="B40" s="104"/>
      <c r="C40" s="105"/>
      <c r="D40" s="71">
        <f>SUM(D41:D43)</f>
        <v>9163</v>
      </c>
      <c r="E40" s="95"/>
      <c r="F40" s="95"/>
      <c r="G40" s="96" t="s">
        <v>63</v>
      </c>
      <c r="H40" s="96"/>
      <c r="I40" s="108" t="s">
        <v>76</v>
      </c>
      <c r="J40" s="109"/>
      <c r="K40" s="109"/>
      <c r="L40" s="109"/>
      <c r="M40" s="109"/>
      <c r="N40" s="110"/>
      <c r="O40" s="75"/>
      <c r="P40" s="75"/>
      <c r="Q40" s="75"/>
      <c r="R40" s="75"/>
      <c r="S40" s="35"/>
      <c r="T40" s="66"/>
      <c r="U40" s="66"/>
      <c r="V40" s="66"/>
    </row>
    <row r="41" spans="1:22" s="67" customFormat="1" ht="22.5" customHeight="1">
      <c r="A41" s="73" t="s">
        <v>77</v>
      </c>
      <c r="B41" s="74" t="s">
        <v>66</v>
      </c>
      <c r="C41" s="19">
        <v>3135</v>
      </c>
      <c r="D41" s="19">
        <f>C41</f>
        <v>3135</v>
      </c>
      <c r="E41" s="95" t="s">
        <v>78</v>
      </c>
      <c r="F41" s="95"/>
      <c r="G41" s="96"/>
      <c r="H41" s="96"/>
      <c r="I41" s="111"/>
      <c r="J41" s="112"/>
      <c r="K41" s="112"/>
      <c r="L41" s="112"/>
      <c r="M41" s="112"/>
      <c r="N41" s="113"/>
      <c r="O41" s="76"/>
      <c r="P41" s="76"/>
      <c r="Q41" s="76"/>
      <c r="R41" s="76"/>
      <c r="S41" s="35"/>
      <c r="T41" s="66"/>
      <c r="U41" s="66"/>
      <c r="V41" s="66"/>
    </row>
    <row r="42" spans="1:22" s="67" customFormat="1" ht="30.75" customHeight="1">
      <c r="A42" s="73" t="s">
        <v>79</v>
      </c>
      <c r="B42" s="74" t="s">
        <v>66</v>
      </c>
      <c r="C42" s="19">
        <f>36*137</f>
        <v>4932</v>
      </c>
      <c r="D42" s="19">
        <f>C42</f>
        <v>4932</v>
      </c>
      <c r="E42" s="95" t="s">
        <v>71</v>
      </c>
      <c r="F42" s="95"/>
      <c r="G42" s="96"/>
      <c r="H42" s="96"/>
      <c r="I42" s="111"/>
      <c r="J42" s="112"/>
      <c r="K42" s="112"/>
      <c r="L42" s="112"/>
      <c r="M42" s="112"/>
      <c r="N42" s="113"/>
      <c r="O42" s="76"/>
      <c r="P42" s="76"/>
      <c r="Q42" s="76"/>
      <c r="R42" s="76"/>
      <c r="S42" s="35"/>
      <c r="T42" s="66"/>
      <c r="U42" s="66"/>
      <c r="V42" s="66"/>
    </row>
    <row r="43" spans="1:22" s="67" customFormat="1" ht="31.5" customHeight="1">
      <c r="A43" s="73" t="s">
        <v>80</v>
      </c>
      <c r="B43" s="74" t="s">
        <v>66</v>
      </c>
      <c r="C43" s="19">
        <f>8*137</f>
        <v>1096</v>
      </c>
      <c r="D43" s="19">
        <f>C43</f>
        <v>1096</v>
      </c>
      <c r="E43" s="95" t="s">
        <v>71</v>
      </c>
      <c r="F43" s="95"/>
      <c r="G43" s="96"/>
      <c r="H43" s="96"/>
      <c r="I43" s="114"/>
      <c r="J43" s="115"/>
      <c r="K43" s="115"/>
      <c r="L43" s="115"/>
      <c r="M43" s="115"/>
      <c r="N43" s="116"/>
      <c r="O43" s="76"/>
      <c r="P43" s="76"/>
      <c r="Q43" s="76"/>
      <c r="R43" s="76"/>
      <c r="S43" s="35"/>
      <c r="T43" s="66"/>
      <c r="U43" s="66"/>
      <c r="V43" s="66"/>
    </row>
    <row r="44" spans="1:22" s="67" customFormat="1" ht="45" customHeight="1">
      <c r="A44" s="103" t="s">
        <v>81</v>
      </c>
      <c r="B44" s="104"/>
      <c r="C44" s="105"/>
      <c r="D44" s="71">
        <f>SUM(D45:D48)</f>
        <v>20790.71</v>
      </c>
      <c r="E44" s="106"/>
      <c r="F44" s="107"/>
      <c r="G44" s="96" t="s">
        <v>63</v>
      </c>
      <c r="H44" s="96"/>
      <c r="I44" s="108" t="s">
        <v>82</v>
      </c>
      <c r="J44" s="109"/>
      <c r="K44" s="109"/>
      <c r="L44" s="109"/>
      <c r="M44" s="109"/>
      <c r="N44" s="110"/>
      <c r="O44" s="76"/>
      <c r="P44" s="76"/>
      <c r="Q44" s="76"/>
      <c r="R44" s="76"/>
      <c r="S44" s="35"/>
      <c r="T44" s="66"/>
      <c r="U44" s="66"/>
      <c r="V44" s="66"/>
    </row>
    <row r="45" spans="1:22" s="67" customFormat="1" ht="19.5" customHeight="1">
      <c r="A45" s="73" t="s">
        <v>120</v>
      </c>
      <c r="B45" s="74" t="s">
        <v>66</v>
      </c>
      <c r="C45" s="19">
        <f>16*137</f>
        <v>2192</v>
      </c>
      <c r="D45" s="19">
        <f aca="true" t="shared" si="7" ref="D45:D51">C45</f>
        <v>2192</v>
      </c>
      <c r="E45" s="106" t="s">
        <v>96</v>
      </c>
      <c r="F45" s="107"/>
      <c r="G45" s="96"/>
      <c r="H45" s="96"/>
      <c r="I45" s="111"/>
      <c r="J45" s="112"/>
      <c r="K45" s="112"/>
      <c r="L45" s="112"/>
      <c r="M45" s="112"/>
      <c r="N45" s="113"/>
      <c r="O45" s="76"/>
      <c r="P45" s="76"/>
      <c r="Q45" s="76"/>
      <c r="R45" s="76"/>
      <c r="S45" s="35"/>
      <c r="T45" s="66"/>
      <c r="U45" s="66"/>
      <c r="V45" s="66"/>
    </row>
    <row r="46" spans="1:22" s="67" customFormat="1" ht="19.5" customHeight="1">
      <c r="A46" s="73" t="s">
        <v>83</v>
      </c>
      <c r="B46" s="74" t="s">
        <v>66</v>
      </c>
      <c r="C46" s="19">
        <v>1747.71</v>
      </c>
      <c r="D46" s="19">
        <f t="shared" si="7"/>
        <v>1747.71</v>
      </c>
      <c r="E46" s="106" t="s">
        <v>84</v>
      </c>
      <c r="F46" s="107"/>
      <c r="G46" s="96"/>
      <c r="H46" s="96"/>
      <c r="I46" s="111"/>
      <c r="J46" s="112"/>
      <c r="K46" s="112"/>
      <c r="L46" s="112"/>
      <c r="M46" s="112"/>
      <c r="N46" s="113"/>
      <c r="O46" s="76"/>
      <c r="P46" s="76"/>
      <c r="Q46" s="76"/>
      <c r="R46" s="76"/>
      <c r="S46" s="35"/>
      <c r="T46" s="66"/>
      <c r="U46" s="66"/>
      <c r="V46" s="66"/>
    </row>
    <row r="47" spans="1:22" s="67" customFormat="1" ht="19.5" customHeight="1">
      <c r="A47" s="73" t="s">
        <v>85</v>
      </c>
      <c r="B47" s="74" t="s">
        <v>66</v>
      </c>
      <c r="C47" s="19">
        <f>77*137</f>
        <v>10549</v>
      </c>
      <c r="D47" s="19">
        <f t="shared" si="7"/>
        <v>10549</v>
      </c>
      <c r="E47" s="106" t="s">
        <v>69</v>
      </c>
      <c r="F47" s="107"/>
      <c r="G47" s="96"/>
      <c r="H47" s="96"/>
      <c r="I47" s="111"/>
      <c r="J47" s="112"/>
      <c r="K47" s="112"/>
      <c r="L47" s="112"/>
      <c r="M47" s="112"/>
      <c r="N47" s="113"/>
      <c r="O47" s="76"/>
      <c r="P47" s="76"/>
      <c r="Q47" s="76"/>
      <c r="R47" s="76"/>
      <c r="S47" s="35"/>
      <c r="T47" s="66"/>
      <c r="U47" s="66"/>
      <c r="V47" s="66"/>
    </row>
    <row r="48" spans="1:22" s="67" customFormat="1" ht="32.25" customHeight="1">
      <c r="A48" s="73" t="s">
        <v>86</v>
      </c>
      <c r="B48" s="74" t="s">
        <v>66</v>
      </c>
      <c r="C48" s="19">
        <f>46*137</f>
        <v>6302</v>
      </c>
      <c r="D48" s="19">
        <f t="shared" si="7"/>
        <v>6302</v>
      </c>
      <c r="E48" s="106" t="s">
        <v>69</v>
      </c>
      <c r="F48" s="107"/>
      <c r="G48" s="96"/>
      <c r="H48" s="96"/>
      <c r="I48" s="114"/>
      <c r="J48" s="115"/>
      <c r="K48" s="115"/>
      <c r="L48" s="115"/>
      <c r="M48" s="115"/>
      <c r="N48" s="116"/>
      <c r="O48" s="76"/>
      <c r="P48" s="76"/>
      <c r="Q48" s="76"/>
      <c r="R48" s="76"/>
      <c r="S48" s="35"/>
      <c r="T48" s="66"/>
      <c r="U48" s="66"/>
      <c r="V48" s="66"/>
    </row>
    <row r="49" spans="1:22" s="67" customFormat="1" ht="18.75" customHeight="1">
      <c r="A49" s="77" t="s">
        <v>87</v>
      </c>
      <c r="B49" s="74" t="s">
        <v>66</v>
      </c>
      <c r="C49" s="19">
        <f>E16</f>
        <v>20366.47</v>
      </c>
      <c r="D49" s="71">
        <f t="shared" si="7"/>
        <v>20366.47</v>
      </c>
      <c r="E49" s="95" t="s">
        <v>88</v>
      </c>
      <c r="F49" s="95"/>
      <c r="G49" s="98" t="s">
        <v>63</v>
      </c>
      <c r="H49" s="98"/>
      <c r="I49" s="99" t="s">
        <v>87</v>
      </c>
      <c r="J49" s="99"/>
      <c r="K49" s="99"/>
      <c r="L49" s="99"/>
      <c r="M49" s="99"/>
      <c r="N49" s="99"/>
      <c r="O49" s="78"/>
      <c r="P49" s="78"/>
      <c r="Q49" s="78"/>
      <c r="R49" s="78"/>
      <c r="S49" s="35"/>
      <c r="T49" s="66"/>
      <c r="U49" s="66"/>
      <c r="V49" s="66"/>
    </row>
    <row r="50" spans="1:22" s="67" customFormat="1" ht="30.75" customHeight="1">
      <c r="A50" s="77" t="s">
        <v>89</v>
      </c>
      <c r="B50" s="74" t="s">
        <v>66</v>
      </c>
      <c r="C50" s="19">
        <f>E17</f>
        <v>21758.66</v>
      </c>
      <c r="D50" s="71">
        <f t="shared" si="7"/>
        <v>21758.66</v>
      </c>
      <c r="E50" s="95" t="s">
        <v>90</v>
      </c>
      <c r="F50" s="95"/>
      <c r="G50" s="96" t="s">
        <v>91</v>
      </c>
      <c r="H50" s="96"/>
      <c r="I50" s="102" t="s">
        <v>89</v>
      </c>
      <c r="J50" s="102"/>
      <c r="K50" s="102"/>
      <c r="L50" s="102"/>
      <c r="M50" s="102"/>
      <c r="N50" s="102"/>
      <c r="O50" s="75"/>
      <c r="P50" s="75"/>
      <c r="Q50" s="75"/>
      <c r="R50" s="75"/>
      <c r="S50" s="35"/>
      <c r="T50" s="66"/>
      <c r="U50" s="66"/>
      <c r="V50" s="66"/>
    </row>
    <row r="51" spans="1:22" s="67" customFormat="1" ht="17.25" customHeight="1">
      <c r="A51" s="77" t="s">
        <v>92</v>
      </c>
      <c r="B51" s="74" t="s">
        <v>66</v>
      </c>
      <c r="C51" s="19">
        <f>E18</f>
        <v>39859.21</v>
      </c>
      <c r="D51" s="71">
        <f t="shared" si="7"/>
        <v>39859.21</v>
      </c>
      <c r="E51" s="95" t="s">
        <v>88</v>
      </c>
      <c r="F51" s="95"/>
      <c r="G51" s="98" t="s">
        <v>63</v>
      </c>
      <c r="H51" s="98"/>
      <c r="I51" s="99" t="s">
        <v>92</v>
      </c>
      <c r="J51" s="99"/>
      <c r="K51" s="99"/>
      <c r="L51" s="99"/>
      <c r="M51" s="99"/>
      <c r="N51" s="99"/>
      <c r="O51" s="78"/>
      <c r="P51" s="78"/>
      <c r="Q51" s="78"/>
      <c r="R51" s="78"/>
      <c r="S51" s="35"/>
      <c r="T51" s="66"/>
      <c r="U51" s="66"/>
      <c r="V51" s="66"/>
    </row>
    <row r="52" spans="1:22" s="83" customFormat="1" ht="15">
      <c r="A52" s="79" t="s">
        <v>93</v>
      </c>
      <c r="B52" s="74"/>
      <c r="C52" s="27"/>
      <c r="D52" s="71">
        <f>SUM(D53:D56)</f>
        <v>43566</v>
      </c>
      <c r="E52" s="100"/>
      <c r="F52" s="100"/>
      <c r="G52" s="101"/>
      <c r="H52" s="101"/>
      <c r="I52" s="80"/>
      <c r="J52" s="80"/>
      <c r="K52" s="80"/>
      <c r="L52" s="80"/>
      <c r="M52" s="2"/>
      <c r="N52" s="2"/>
      <c r="O52" s="2"/>
      <c r="P52" s="81"/>
      <c r="Q52" s="81"/>
      <c r="R52" s="81"/>
      <c r="S52" s="81"/>
      <c r="T52" s="82"/>
      <c r="U52" s="82"/>
      <c r="V52" s="82"/>
    </row>
    <row r="53" spans="1:22" s="83" customFormat="1" ht="26.25" customHeight="1">
      <c r="A53" s="84" t="s">
        <v>133</v>
      </c>
      <c r="B53" s="74" t="s">
        <v>66</v>
      </c>
      <c r="C53" s="19">
        <f>120*137</f>
        <v>16440</v>
      </c>
      <c r="D53" s="19">
        <f>C53</f>
        <v>16440</v>
      </c>
      <c r="E53" s="95" t="s">
        <v>134</v>
      </c>
      <c r="F53" s="95"/>
      <c r="G53" s="96" t="s">
        <v>63</v>
      </c>
      <c r="H53" s="96"/>
      <c r="I53" s="80"/>
      <c r="J53" s="80"/>
      <c r="K53" s="80"/>
      <c r="L53" s="80"/>
      <c r="M53" s="2"/>
      <c r="N53" s="2"/>
      <c r="O53" s="2"/>
      <c r="P53" s="81"/>
      <c r="Q53" s="81"/>
      <c r="R53" s="81"/>
      <c r="S53" s="81"/>
      <c r="T53" s="82"/>
      <c r="U53" s="82"/>
      <c r="V53" s="82"/>
    </row>
    <row r="54" spans="1:22" s="83" customFormat="1" ht="26.25" customHeight="1">
      <c r="A54" s="84" t="s">
        <v>94</v>
      </c>
      <c r="B54" s="74" t="s">
        <v>66</v>
      </c>
      <c r="C54" s="19">
        <f>24*137</f>
        <v>3288</v>
      </c>
      <c r="D54" s="19">
        <f>C54</f>
        <v>3288</v>
      </c>
      <c r="E54" s="95" t="s">
        <v>78</v>
      </c>
      <c r="F54" s="95"/>
      <c r="G54" s="96" t="s">
        <v>63</v>
      </c>
      <c r="H54" s="96"/>
      <c r="I54" s="80"/>
      <c r="J54" s="80"/>
      <c r="K54" s="80"/>
      <c r="L54" s="80"/>
      <c r="M54" s="2"/>
      <c r="N54" s="2"/>
      <c r="O54" s="2"/>
      <c r="P54" s="81"/>
      <c r="Q54" s="81"/>
      <c r="R54" s="81"/>
      <c r="S54" s="81"/>
      <c r="T54" s="82"/>
      <c r="U54" s="82"/>
      <c r="V54" s="82"/>
    </row>
    <row r="55" spans="1:22" s="83" customFormat="1" ht="26.25" customHeight="1">
      <c r="A55" s="84" t="s">
        <v>95</v>
      </c>
      <c r="B55" s="74" t="s">
        <v>66</v>
      </c>
      <c r="C55" s="19">
        <f>102*137</f>
        <v>13974</v>
      </c>
      <c r="D55" s="19">
        <f>C55</f>
        <v>13974</v>
      </c>
      <c r="E55" s="95" t="s">
        <v>96</v>
      </c>
      <c r="F55" s="95"/>
      <c r="G55" s="96" t="s">
        <v>63</v>
      </c>
      <c r="H55" s="96"/>
      <c r="I55" s="80"/>
      <c r="J55" s="80"/>
      <c r="K55" s="80"/>
      <c r="L55" s="80"/>
      <c r="M55" s="2"/>
      <c r="N55" s="2"/>
      <c r="O55" s="2"/>
      <c r="P55" s="81"/>
      <c r="Q55" s="81"/>
      <c r="R55" s="81"/>
      <c r="S55" s="81"/>
      <c r="T55" s="82"/>
      <c r="U55" s="82"/>
      <c r="V55" s="82"/>
    </row>
    <row r="56" spans="1:22" s="83" customFormat="1" ht="26.25" customHeight="1">
      <c r="A56" s="84" t="s">
        <v>135</v>
      </c>
      <c r="B56" s="74" t="s">
        <v>66</v>
      </c>
      <c r="C56" s="19">
        <f>72*137</f>
        <v>9864</v>
      </c>
      <c r="D56" s="19">
        <f>C56</f>
        <v>9864</v>
      </c>
      <c r="E56" s="144" t="s">
        <v>122</v>
      </c>
      <c r="F56" s="144"/>
      <c r="G56" s="96" t="s">
        <v>63</v>
      </c>
      <c r="H56" s="96"/>
      <c r="I56" s="80"/>
      <c r="J56" s="80"/>
      <c r="K56" s="80"/>
      <c r="L56" s="80"/>
      <c r="M56" s="2"/>
      <c r="N56" s="2"/>
      <c r="O56" s="2"/>
      <c r="P56" s="81"/>
      <c r="Q56" s="81"/>
      <c r="R56" s="81"/>
      <c r="S56" s="81"/>
      <c r="T56" s="82"/>
      <c r="U56" s="82"/>
      <c r="V56" s="82"/>
    </row>
    <row r="58" ht="15.75">
      <c r="A58" s="1" t="s">
        <v>99</v>
      </c>
    </row>
    <row r="59" spans="5:7" ht="15">
      <c r="E59" s="85" t="s">
        <v>100</v>
      </c>
      <c r="F59" s="85" t="s">
        <v>101</v>
      </c>
      <c r="G59" s="86" t="s">
        <v>102</v>
      </c>
    </row>
    <row r="60" spans="1:17" ht="33" customHeight="1">
      <c r="A60" s="93" t="s">
        <v>103</v>
      </c>
      <c r="B60" s="93"/>
      <c r="C60" s="93"/>
      <c r="D60" s="74" t="s">
        <v>104</v>
      </c>
      <c r="E60" s="74">
        <v>4</v>
      </c>
      <c r="F60" s="74">
        <v>0</v>
      </c>
      <c r="G60" s="145" t="s">
        <v>136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ht="33" customHeight="1">
      <c r="A61" s="93" t="s">
        <v>106</v>
      </c>
      <c r="B61" s="93"/>
      <c r="C61" s="93"/>
      <c r="D61" s="74" t="s">
        <v>104</v>
      </c>
      <c r="E61" s="74">
        <v>4</v>
      </c>
      <c r="F61" s="74">
        <v>0</v>
      </c>
      <c r="G61" s="97" t="s">
        <v>137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25.5" customHeight="1">
      <c r="A62" s="93" t="s">
        <v>108</v>
      </c>
      <c r="B62" s="93"/>
      <c r="C62" s="93"/>
      <c r="D62" s="74" t="s">
        <v>104</v>
      </c>
      <c r="E62" s="74">
        <v>0</v>
      </c>
      <c r="F62" s="74">
        <v>0</v>
      </c>
      <c r="G62" s="89" t="s">
        <v>138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17" ht="33.75" customHeight="1">
      <c r="A63" s="93" t="s">
        <v>110</v>
      </c>
      <c r="B63" s="93"/>
      <c r="C63" s="93"/>
      <c r="D63" s="74" t="s">
        <v>111</v>
      </c>
      <c r="E63" s="19">
        <v>0</v>
      </c>
      <c r="F63" s="19">
        <v>0</v>
      </c>
      <c r="G63" s="92" t="s">
        <v>139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7:17" ht="15"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22" s="2" customFormat="1" ht="15.75">
      <c r="A65" s="1" t="s">
        <v>112</v>
      </c>
      <c r="F65" s="3"/>
      <c r="G65" s="3"/>
      <c r="H65" s="3"/>
      <c r="I65" s="3"/>
      <c r="J65" s="3"/>
      <c r="K65" s="3"/>
      <c r="L65" s="3"/>
      <c r="P65" s="4"/>
      <c r="Q65" s="4"/>
      <c r="R65" s="5"/>
      <c r="S65" s="5"/>
      <c r="T65" s="5"/>
      <c r="U65" s="5"/>
      <c r="V65" s="5"/>
    </row>
    <row r="66" spans="1:22" s="2" customFormat="1" ht="34.5" customHeight="1">
      <c r="A66" s="93" t="s">
        <v>113</v>
      </c>
      <c r="B66" s="93"/>
      <c r="C66" s="93"/>
      <c r="D66" s="74" t="s">
        <v>104</v>
      </c>
      <c r="E66" s="74">
        <v>11</v>
      </c>
      <c r="F66" s="3"/>
      <c r="G66" s="3"/>
      <c r="H66" s="3"/>
      <c r="I66" s="3"/>
      <c r="J66" s="3"/>
      <c r="K66" s="3"/>
      <c r="L66" s="3"/>
      <c r="P66" s="4"/>
      <c r="Q66" s="4"/>
      <c r="R66" s="5"/>
      <c r="S66" s="5"/>
      <c r="T66" s="5"/>
      <c r="U66" s="5"/>
      <c r="V66" s="5"/>
    </row>
    <row r="67" spans="1:22" s="2" customFormat="1" ht="26.25" customHeight="1">
      <c r="A67" s="93" t="s">
        <v>114</v>
      </c>
      <c r="B67" s="93"/>
      <c r="C67" s="93"/>
      <c r="D67" s="74" t="s">
        <v>104</v>
      </c>
      <c r="E67" s="74">
        <v>3</v>
      </c>
      <c r="F67" s="3"/>
      <c r="G67" s="3"/>
      <c r="H67" s="3"/>
      <c r="I67" s="3"/>
      <c r="J67" s="3"/>
      <c r="K67" s="3"/>
      <c r="L67" s="3"/>
      <c r="P67" s="4"/>
      <c r="Q67" s="4"/>
      <c r="R67" s="5"/>
      <c r="S67" s="5"/>
      <c r="T67" s="5"/>
      <c r="U67" s="5"/>
      <c r="V67" s="5"/>
    </row>
    <row r="68" spans="1:22" s="2" customFormat="1" ht="42.75" customHeight="1">
      <c r="A68" s="93" t="s">
        <v>115</v>
      </c>
      <c r="B68" s="93"/>
      <c r="C68" s="93"/>
      <c r="D68" s="74" t="s">
        <v>111</v>
      </c>
      <c r="E68" s="19">
        <v>17000</v>
      </c>
      <c r="F68" s="3"/>
      <c r="G68" s="3"/>
      <c r="H68" s="3"/>
      <c r="I68" s="3"/>
      <c r="J68" s="3"/>
      <c r="K68" s="3"/>
      <c r="L68" s="3"/>
      <c r="P68" s="4"/>
      <c r="Q68" s="4"/>
      <c r="R68" s="5"/>
      <c r="S68" s="5"/>
      <c r="T68" s="5"/>
      <c r="U68" s="5"/>
      <c r="V68" s="5"/>
    </row>
    <row r="72" spans="1:2" ht="15">
      <c r="A72" s="4" t="s">
        <v>116</v>
      </c>
      <c r="B72" s="6" t="s">
        <v>117</v>
      </c>
    </row>
  </sheetData>
  <sheetProtection/>
  <mergeCells count="74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6"/>
    <mergeCell ref="I27:I28"/>
    <mergeCell ref="E32:F32"/>
    <mergeCell ref="G32:H32"/>
    <mergeCell ref="I32:N32"/>
    <mergeCell ref="A33:C33"/>
    <mergeCell ref="E33:F33"/>
    <mergeCell ref="G33:H33"/>
    <mergeCell ref="I33:N33"/>
    <mergeCell ref="A34:C34"/>
    <mergeCell ref="E34:F34"/>
    <mergeCell ref="G34:H39"/>
    <mergeCell ref="I34:N39"/>
    <mergeCell ref="E35:F35"/>
    <mergeCell ref="E36:F36"/>
    <mergeCell ref="E37:F37"/>
    <mergeCell ref="E38:F38"/>
    <mergeCell ref="E39:F39"/>
    <mergeCell ref="A40:C40"/>
    <mergeCell ref="E40:F40"/>
    <mergeCell ref="G40:H43"/>
    <mergeCell ref="I40:N43"/>
    <mergeCell ref="E41:F41"/>
    <mergeCell ref="E42:F42"/>
    <mergeCell ref="E43:F43"/>
    <mergeCell ref="A44:C44"/>
    <mergeCell ref="E44:F44"/>
    <mergeCell ref="G44:H48"/>
    <mergeCell ref="I44:N48"/>
    <mergeCell ref="E45:F45"/>
    <mergeCell ref="E46:F46"/>
    <mergeCell ref="E47:F47"/>
    <mergeCell ref="E48:F48"/>
    <mergeCell ref="E49:F49"/>
    <mergeCell ref="G49:H49"/>
    <mergeCell ref="I49:N49"/>
    <mergeCell ref="E50:F50"/>
    <mergeCell ref="G50:H50"/>
    <mergeCell ref="I50:N50"/>
    <mergeCell ref="E51:F51"/>
    <mergeCell ref="G51:H51"/>
    <mergeCell ref="I51:N51"/>
    <mergeCell ref="E52:F52"/>
    <mergeCell ref="G52:H52"/>
    <mergeCell ref="E53:F53"/>
    <mergeCell ref="G53:H53"/>
    <mergeCell ref="G63:Q63"/>
    <mergeCell ref="E54:F54"/>
    <mergeCell ref="G54:H54"/>
    <mergeCell ref="E55:F55"/>
    <mergeCell ref="G55:H55"/>
    <mergeCell ref="E56:F56"/>
    <mergeCell ref="G56:H56"/>
    <mergeCell ref="G64:Q64"/>
    <mergeCell ref="A66:C66"/>
    <mergeCell ref="A67:C67"/>
    <mergeCell ref="A68:C68"/>
    <mergeCell ref="A60:C60"/>
    <mergeCell ref="G60:Q60"/>
    <mergeCell ref="A61:C61"/>
    <mergeCell ref="G61:Q61"/>
    <mergeCell ref="A62:C62"/>
    <mergeCell ref="A63:C63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="86" zoomScaleNormal="86" zoomScalePageLayoutView="0" workbookViewId="0" topLeftCell="C1">
      <selection activeCell="K13" sqref="K13:K19"/>
    </sheetView>
  </sheetViews>
  <sheetFormatPr defaultColWidth="9.140625" defaultRowHeight="15"/>
  <cols>
    <col min="1" max="1" width="47.421875" style="4" customWidth="1"/>
    <col min="2" max="2" width="12.7109375" style="2" customWidth="1"/>
    <col min="3" max="3" width="14.00390625" style="2" customWidth="1"/>
    <col min="4" max="4" width="13.8515625" style="2" customWidth="1"/>
    <col min="5" max="5" width="13.7109375" style="2" customWidth="1"/>
    <col min="6" max="6" width="14.28125" style="3" customWidth="1"/>
    <col min="7" max="7" width="14.00390625" style="3" customWidth="1"/>
    <col min="8" max="8" width="14.14062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8515625" style="4" customWidth="1"/>
    <col min="17" max="17" width="8.42187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140</v>
      </c>
    </row>
    <row r="5" ht="15">
      <c r="A5" s="4" t="s">
        <v>3</v>
      </c>
    </row>
    <row r="6" ht="15">
      <c r="A6" s="4" t="s">
        <v>4</v>
      </c>
    </row>
    <row r="7" ht="15">
      <c r="A7" s="4" t="s">
        <v>141</v>
      </c>
    </row>
    <row r="8" ht="15">
      <c r="A8" s="4" t="s">
        <v>142</v>
      </c>
    </row>
    <row r="9" ht="15.75" thickBot="1"/>
    <row r="10" spans="1:22" s="8" customFormat="1" ht="15.75" customHeight="1">
      <c r="A10" s="139" t="s">
        <v>7</v>
      </c>
      <c r="B10" s="142" t="s">
        <v>8</v>
      </c>
      <c r="C10" s="135" t="s">
        <v>9</v>
      </c>
      <c r="D10" s="135" t="s">
        <v>10</v>
      </c>
      <c r="E10" s="135" t="s">
        <v>11</v>
      </c>
      <c r="F10" s="135" t="s">
        <v>12</v>
      </c>
      <c r="G10" s="135"/>
      <c r="H10" s="135"/>
      <c r="I10" s="135"/>
      <c r="J10" s="135"/>
      <c r="K10" s="135"/>
      <c r="L10" s="135" t="s">
        <v>13</v>
      </c>
      <c r="M10" s="135" t="s">
        <v>14</v>
      </c>
      <c r="N10" s="135" t="s">
        <v>15</v>
      </c>
      <c r="O10" s="137" t="s">
        <v>16</v>
      </c>
      <c r="P10" s="139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40"/>
      <c r="B11" s="143"/>
      <c r="C11" s="136"/>
      <c r="D11" s="136"/>
      <c r="E11" s="136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6"/>
      <c r="M11" s="136"/>
      <c r="N11" s="136"/>
      <c r="O11" s="138"/>
      <c r="P11" s="140"/>
      <c r="Q11" s="7"/>
      <c r="R11" s="7"/>
      <c r="S11" s="7"/>
      <c r="T11" s="7"/>
      <c r="U11" s="7"/>
      <c r="V11" s="7"/>
    </row>
    <row r="12" spans="1:22" s="16" customFormat="1" ht="15.75" customHeight="1">
      <c r="A12" s="10" t="s">
        <v>24</v>
      </c>
      <c r="B12" s="11">
        <f>SUM(B13:B19)</f>
        <v>0</v>
      </c>
      <c r="C12" s="12">
        <f>SUM(C13:C19)</f>
        <v>-539.7399999999994</v>
      </c>
      <c r="D12" s="12">
        <f>SUM(D13:D19)</f>
        <v>12451.460000000001</v>
      </c>
      <c r="E12" s="12">
        <f>SUM(E13:E19)</f>
        <v>161858.68000000002</v>
      </c>
      <c r="F12" s="12">
        <f>SUM(F13:F19)</f>
        <v>128399.3</v>
      </c>
      <c r="G12" s="12">
        <v>0</v>
      </c>
      <c r="H12" s="12">
        <v>0</v>
      </c>
      <c r="I12" s="12">
        <v>0</v>
      </c>
      <c r="J12" s="12">
        <v>0</v>
      </c>
      <c r="K12" s="12">
        <f>SUM(K13:K19)</f>
        <v>127859.56</v>
      </c>
      <c r="L12" s="12">
        <f>SUM(L13:L19)</f>
        <v>174842.79</v>
      </c>
      <c r="M12" s="12">
        <f>SUM(M13:M19)</f>
        <v>0</v>
      </c>
      <c r="N12" s="12">
        <f>SUM(N13:N19)</f>
        <v>-46983.229999999996</v>
      </c>
      <c r="O12" s="13">
        <f>SUM(O13:O19)</f>
        <v>45910.84</v>
      </c>
      <c r="P12" s="14">
        <f aca="true" t="shared" si="0" ref="P12:P21">F12/(D12+E12)</f>
        <v>0.7366140604327436</v>
      </c>
      <c r="Q12" s="15"/>
      <c r="R12" s="15"/>
      <c r="S12" s="15"/>
      <c r="T12" s="15"/>
      <c r="U12" s="15"/>
      <c r="V12" s="15"/>
    </row>
    <row r="13" spans="1:22" s="23" customFormat="1" ht="57.75" customHeight="1">
      <c r="A13" s="17" t="s">
        <v>25</v>
      </c>
      <c r="B13" s="18">
        <v>0</v>
      </c>
      <c r="C13" s="19">
        <v>1729.23</v>
      </c>
      <c r="D13" s="19">
        <v>1095.32</v>
      </c>
      <c r="E13" s="19">
        <v>22196.48</v>
      </c>
      <c r="F13" s="19">
        <v>17602.07</v>
      </c>
      <c r="G13" s="19">
        <v>0</v>
      </c>
      <c r="H13" s="19">
        <v>0</v>
      </c>
      <c r="I13" s="19">
        <v>0</v>
      </c>
      <c r="J13" s="19">
        <v>0</v>
      </c>
      <c r="K13" s="19">
        <f>F13+G13+H13+I13+J13+C13</f>
        <v>19331.3</v>
      </c>
      <c r="L13" s="19">
        <f>D34</f>
        <v>21646</v>
      </c>
      <c r="M13" s="19">
        <v>0</v>
      </c>
      <c r="N13" s="19">
        <f>K13-L13</f>
        <v>-2314.7000000000007</v>
      </c>
      <c r="O13" s="20">
        <f>D13+E13-F13</f>
        <v>5689.73</v>
      </c>
      <c r="P13" s="21">
        <f t="shared" si="0"/>
        <v>0.7557196094762964</v>
      </c>
      <c r="Q13" s="22"/>
      <c r="R13" s="22"/>
      <c r="S13" s="22"/>
      <c r="T13" s="22"/>
      <c r="U13" s="22"/>
      <c r="V13" s="22"/>
    </row>
    <row r="14" spans="1:22" s="23" customFormat="1" ht="29.25" customHeight="1">
      <c r="A14" s="17" t="s">
        <v>26</v>
      </c>
      <c r="B14" s="18">
        <v>0</v>
      </c>
      <c r="C14" s="19">
        <v>496.09</v>
      </c>
      <c r="D14" s="19">
        <v>314.23</v>
      </c>
      <c r="E14" s="19">
        <v>6378.3</v>
      </c>
      <c r="F14" s="19">
        <v>5059.11</v>
      </c>
      <c r="G14" s="19">
        <v>0</v>
      </c>
      <c r="H14" s="19">
        <v>0</v>
      </c>
      <c r="I14" s="19">
        <v>0</v>
      </c>
      <c r="J14" s="19">
        <v>0</v>
      </c>
      <c r="K14" s="19">
        <f aca="true" t="shared" si="1" ref="K14:K19">F14+G14+H14+I14+J14+C14</f>
        <v>5555.2</v>
      </c>
      <c r="L14" s="19">
        <f>D40</f>
        <v>8341</v>
      </c>
      <c r="M14" s="19">
        <v>0</v>
      </c>
      <c r="N14" s="19">
        <f aca="true" t="shared" si="2" ref="N14:N20">K14-L14</f>
        <v>-2785.8</v>
      </c>
      <c r="O14" s="20">
        <f aca="true" t="shared" si="3" ref="O14:O19">D14+E14-F14</f>
        <v>1633.420000000001</v>
      </c>
      <c r="P14" s="21">
        <f t="shared" si="0"/>
        <v>0.7559338546110363</v>
      </c>
      <c r="Q14" s="22"/>
      <c r="R14" s="22"/>
      <c r="S14" s="22"/>
      <c r="T14" s="22"/>
      <c r="U14" s="22"/>
      <c r="V14" s="22"/>
    </row>
    <row r="15" spans="1:22" s="23" customFormat="1" ht="56.25" customHeight="1">
      <c r="A15" s="17" t="s">
        <v>27</v>
      </c>
      <c r="B15" s="18">
        <v>0</v>
      </c>
      <c r="C15" s="19">
        <v>-281.76</v>
      </c>
      <c r="D15" s="19">
        <v>843.94</v>
      </c>
      <c r="E15" s="19">
        <v>17093.84</v>
      </c>
      <c r="F15" s="19">
        <v>13554.78</v>
      </c>
      <c r="G15" s="19">
        <v>0</v>
      </c>
      <c r="H15" s="19">
        <v>0</v>
      </c>
      <c r="I15" s="19">
        <v>0</v>
      </c>
      <c r="J15" s="19">
        <v>0</v>
      </c>
      <c r="K15" s="19">
        <f t="shared" si="1"/>
        <v>13273.02</v>
      </c>
      <c r="L15" s="19">
        <f>D44</f>
        <v>17193.5</v>
      </c>
      <c r="M15" s="19">
        <v>0</v>
      </c>
      <c r="N15" s="19">
        <f t="shared" si="2"/>
        <v>-3920.4799999999996</v>
      </c>
      <c r="O15" s="20">
        <f t="shared" si="3"/>
        <v>4382.999999999998</v>
      </c>
      <c r="P15" s="21">
        <f t="shared" si="0"/>
        <v>0.7556553821041401</v>
      </c>
      <c r="Q15" s="22"/>
      <c r="R15" s="22"/>
      <c r="S15" s="22"/>
      <c r="T15" s="22"/>
      <c r="U15" s="22"/>
      <c r="V15" s="22"/>
    </row>
    <row r="16" spans="1:22" s="23" customFormat="1" ht="18" customHeight="1">
      <c r="A16" s="17" t="s">
        <v>28</v>
      </c>
      <c r="B16" s="18">
        <v>0</v>
      </c>
      <c r="C16" s="19">
        <v>1695.58</v>
      </c>
      <c r="D16" s="19">
        <v>1074.01</v>
      </c>
      <c r="E16" s="19">
        <v>21451.04</v>
      </c>
      <c r="F16" s="19">
        <v>17050.22</v>
      </c>
      <c r="G16" s="19">
        <v>0</v>
      </c>
      <c r="H16" s="19">
        <v>0</v>
      </c>
      <c r="I16" s="19">
        <v>0</v>
      </c>
      <c r="J16" s="19">
        <v>0</v>
      </c>
      <c r="K16" s="19">
        <f t="shared" si="1"/>
        <v>18745.800000000003</v>
      </c>
      <c r="L16" s="19">
        <f>D48</f>
        <v>21451.04</v>
      </c>
      <c r="M16" s="19">
        <v>0</v>
      </c>
      <c r="N16" s="19">
        <f t="shared" si="2"/>
        <v>-2705.239999999998</v>
      </c>
      <c r="O16" s="20">
        <f t="shared" si="3"/>
        <v>5474.829999999998</v>
      </c>
      <c r="P16" s="21">
        <f t="shared" si="0"/>
        <v>0.7569448236518899</v>
      </c>
      <c r="Q16" s="22"/>
      <c r="R16" s="22"/>
      <c r="S16" s="22"/>
      <c r="T16" s="22"/>
      <c r="U16" s="22"/>
      <c r="V16" s="22"/>
    </row>
    <row r="17" spans="1:22" s="23" customFormat="1" ht="28.5" customHeight="1">
      <c r="A17" s="17" t="s">
        <v>29</v>
      </c>
      <c r="B17" s="18">
        <v>0</v>
      </c>
      <c r="C17" s="19">
        <v>-717.18</v>
      </c>
      <c r="D17" s="19">
        <f>5411.52+0.01</f>
        <v>5411.530000000001</v>
      </c>
      <c r="E17" s="19">
        <v>19475.08</v>
      </c>
      <c r="F17" s="19">
        <v>15444.72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14727.539999999999</v>
      </c>
      <c r="L17" s="19">
        <f>D49</f>
        <v>19475.08</v>
      </c>
      <c r="M17" s="19">
        <v>0</v>
      </c>
      <c r="N17" s="19">
        <f t="shared" si="2"/>
        <v>-4747.540000000003</v>
      </c>
      <c r="O17" s="20">
        <f t="shared" si="3"/>
        <v>9441.890000000001</v>
      </c>
      <c r="P17" s="21">
        <f t="shared" si="0"/>
        <v>0.6206036097323018</v>
      </c>
      <c r="Q17" s="22"/>
      <c r="R17" s="22"/>
      <c r="S17" s="22"/>
      <c r="T17" s="22"/>
      <c r="U17" s="22"/>
      <c r="V17" s="22"/>
    </row>
    <row r="18" spans="1:22" s="23" customFormat="1" ht="15" customHeight="1">
      <c r="A18" s="17" t="s">
        <v>30</v>
      </c>
      <c r="B18" s="18">
        <v>0</v>
      </c>
      <c r="C18" s="19">
        <v>-2778.27</v>
      </c>
      <c r="D18" s="19">
        <v>1759.7</v>
      </c>
      <c r="E18" s="19">
        <v>35675.96</v>
      </c>
      <c r="F18" s="19">
        <v>28293.04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25514.77</v>
      </c>
      <c r="L18" s="19">
        <f>D50</f>
        <v>35675.96</v>
      </c>
      <c r="M18" s="19">
        <v>0</v>
      </c>
      <c r="N18" s="19">
        <f t="shared" si="2"/>
        <v>-10161.189999999999</v>
      </c>
      <c r="O18" s="20">
        <f t="shared" si="3"/>
        <v>9142.619999999995</v>
      </c>
      <c r="P18" s="21">
        <f t="shared" si="0"/>
        <v>0.7557777797960555</v>
      </c>
      <c r="Q18" s="22"/>
      <c r="R18" s="22"/>
      <c r="S18" s="22"/>
      <c r="T18" s="22"/>
      <c r="U18" s="22"/>
      <c r="V18" s="22"/>
    </row>
    <row r="19" spans="1:22" s="23" customFormat="1" ht="18" customHeight="1">
      <c r="A19" s="17" t="s">
        <v>31</v>
      </c>
      <c r="B19" s="18">
        <v>0</v>
      </c>
      <c r="C19" s="19">
        <v>-683.43</v>
      </c>
      <c r="D19" s="19">
        <v>1952.73</v>
      </c>
      <c r="E19" s="19">
        <v>39587.98</v>
      </c>
      <c r="F19" s="19">
        <v>31395.36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30711.93</v>
      </c>
      <c r="L19" s="19">
        <f>D51</f>
        <v>51060.21</v>
      </c>
      <c r="M19" s="19">
        <v>0</v>
      </c>
      <c r="N19" s="19">
        <f t="shared" si="2"/>
        <v>-20348.28</v>
      </c>
      <c r="O19" s="20">
        <f t="shared" si="3"/>
        <v>10145.350000000006</v>
      </c>
      <c r="P19" s="21">
        <f t="shared" si="0"/>
        <v>0.7557733124927329</v>
      </c>
      <c r="Q19" s="22"/>
      <c r="R19" s="22"/>
      <c r="S19" s="22"/>
      <c r="T19" s="22"/>
      <c r="U19" s="22"/>
      <c r="V19" s="22"/>
    </row>
    <row r="20" spans="1:22" s="16" customFormat="1" ht="18.75" customHeight="1" thickBot="1">
      <c r="A20" s="24" t="s">
        <v>32</v>
      </c>
      <c r="B20" s="25">
        <v>0</v>
      </c>
      <c r="C20" s="26">
        <v>831.84</v>
      </c>
      <c r="D20" s="26">
        <v>583.93</v>
      </c>
      <c r="E20" s="26">
        <v>29106.08</v>
      </c>
      <c r="F20" s="26">
        <v>24551.31</v>
      </c>
      <c r="G20" s="26">
        <v>0</v>
      </c>
      <c r="H20" s="26">
        <v>0</v>
      </c>
      <c r="I20" s="26">
        <v>0</v>
      </c>
      <c r="J20" s="26">
        <v>0</v>
      </c>
      <c r="K20" s="27">
        <f>F20+G20+H20+I20+J20+C20</f>
        <v>25383.15</v>
      </c>
      <c r="L20" s="27">
        <f>E20+C20</f>
        <v>29937.920000000002</v>
      </c>
      <c r="M20" s="26">
        <v>0</v>
      </c>
      <c r="N20" s="27">
        <f t="shared" si="2"/>
        <v>-4554.77</v>
      </c>
      <c r="O20" s="28">
        <f>D20+E20-F20</f>
        <v>5138.700000000001</v>
      </c>
      <c r="P20" s="29">
        <f t="shared" si="0"/>
        <v>0.8269215806933039</v>
      </c>
      <c r="Q20" s="15"/>
      <c r="R20" s="15"/>
      <c r="S20" s="15"/>
      <c r="T20" s="15"/>
      <c r="U20" s="15"/>
      <c r="V20" s="15"/>
    </row>
    <row r="21" spans="1:22" s="16" customFormat="1" ht="17.25" customHeight="1" thickBot="1">
      <c r="A21" s="30" t="s">
        <v>33</v>
      </c>
      <c r="B21" s="31">
        <f aca="true" t="shared" si="4" ref="B21:O21">SUM(B13:B20)</f>
        <v>0</v>
      </c>
      <c r="C21" s="32">
        <f t="shared" si="4"/>
        <v>292.1000000000006</v>
      </c>
      <c r="D21" s="32">
        <f t="shared" si="4"/>
        <v>13035.390000000001</v>
      </c>
      <c r="E21" s="32">
        <f t="shared" si="4"/>
        <v>190964.76</v>
      </c>
      <c r="F21" s="32">
        <f t="shared" si="4"/>
        <v>152950.61000000002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153242.71</v>
      </c>
      <c r="L21" s="32">
        <f t="shared" si="4"/>
        <v>204780.71000000002</v>
      </c>
      <c r="M21" s="32">
        <f t="shared" si="4"/>
        <v>0</v>
      </c>
      <c r="N21" s="32">
        <f t="shared" si="4"/>
        <v>-51538</v>
      </c>
      <c r="O21" s="33">
        <f t="shared" si="4"/>
        <v>51049.53999999999</v>
      </c>
      <c r="P21" s="34">
        <f t="shared" si="0"/>
        <v>0.7497573408647004</v>
      </c>
      <c r="Q21" s="15"/>
      <c r="R21" s="15"/>
      <c r="S21" s="15"/>
      <c r="T21" s="15"/>
      <c r="U21" s="15"/>
      <c r="V21" s="15"/>
    </row>
    <row r="22" spans="1:17" ht="15.75" thickBot="1">
      <c r="A22" s="35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6"/>
      <c r="N22" s="36"/>
      <c r="O22" s="36"/>
      <c r="P22" s="35"/>
      <c r="Q22" s="35"/>
    </row>
    <row r="23" spans="1:22" s="8" customFormat="1" ht="86.25" customHeight="1" thickBot="1">
      <c r="A23" s="38" t="s">
        <v>34</v>
      </c>
      <c r="B23" s="39" t="s">
        <v>35</v>
      </c>
      <c r="C23" s="40" t="s">
        <v>36</v>
      </c>
      <c r="D23" s="40" t="s">
        <v>8</v>
      </c>
      <c r="E23" s="40" t="s">
        <v>9</v>
      </c>
      <c r="F23" s="40" t="s">
        <v>10</v>
      </c>
      <c r="G23" s="40" t="s">
        <v>37</v>
      </c>
      <c r="H23" s="40" t="s">
        <v>38</v>
      </c>
      <c r="I23" s="40" t="s">
        <v>39</v>
      </c>
      <c r="J23" s="40" t="s">
        <v>40</v>
      </c>
      <c r="K23" s="40" t="s">
        <v>41</v>
      </c>
      <c r="L23" s="40" t="s">
        <v>42</v>
      </c>
      <c r="M23" s="40" t="s">
        <v>43</v>
      </c>
      <c r="N23" s="40" t="s">
        <v>14</v>
      </c>
      <c r="O23" s="40" t="s">
        <v>15</v>
      </c>
      <c r="P23" s="41" t="s">
        <v>16</v>
      </c>
      <c r="Q23" s="42" t="s">
        <v>17</v>
      </c>
      <c r="R23" s="7"/>
      <c r="S23" s="7"/>
      <c r="T23" s="7"/>
      <c r="U23" s="7"/>
      <c r="V23" s="7"/>
    </row>
    <row r="24" spans="1:22" s="50" customFormat="1" ht="17.25" customHeight="1">
      <c r="A24" s="43" t="s">
        <v>44</v>
      </c>
      <c r="B24" s="44" t="s">
        <v>45</v>
      </c>
      <c r="C24" s="45">
        <v>1586.54</v>
      </c>
      <c r="D24" s="46">
        <v>0</v>
      </c>
      <c r="E24" s="46">
        <v>-1546.77</v>
      </c>
      <c r="F24" s="46">
        <v>5841</v>
      </c>
      <c r="G24" s="46">
        <v>28892.47</v>
      </c>
      <c r="H24" s="46">
        <v>28178.78</v>
      </c>
      <c r="I24" s="141" t="s">
        <v>46</v>
      </c>
      <c r="J24" s="46">
        <v>28892.47</v>
      </c>
      <c r="K24" s="46">
        <v>26995.08</v>
      </c>
      <c r="L24" s="46">
        <f>J24-K24</f>
        <v>1897.3899999999994</v>
      </c>
      <c r="M24" s="46">
        <v>0</v>
      </c>
      <c r="N24" s="46">
        <v>0</v>
      </c>
      <c r="O24" s="46">
        <f>E24+H24-J24</f>
        <v>-2260.4600000000028</v>
      </c>
      <c r="P24" s="47">
        <f>F24+G24-H24</f>
        <v>6554.690000000002</v>
      </c>
      <c r="Q24" s="48">
        <f aca="true" t="shared" si="5" ref="Q24:Q29">H24/(F24+G24)</f>
        <v>0.8112860592391142</v>
      </c>
      <c r="R24" s="49"/>
      <c r="S24" s="49"/>
      <c r="T24" s="49"/>
      <c r="U24" s="49"/>
      <c r="V24" s="49"/>
    </row>
    <row r="25" spans="1:22" s="50" customFormat="1" ht="17.25" customHeight="1">
      <c r="A25" s="51" t="s">
        <v>47</v>
      </c>
      <c r="B25" s="52" t="s">
        <v>48</v>
      </c>
      <c r="C25" s="53">
        <v>70.447</v>
      </c>
      <c r="D25" s="19">
        <v>0</v>
      </c>
      <c r="E25" s="19">
        <v>-3698.74</v>
      </c>
      <c r="F25" s="19">
        <v>13950.96</v>
      </c>
      <c r="G25" s="19">
        <v>72753.29</v>
      </c>
      <c r="H25" s="19">
        <v>70423.62</v>
      </c>
      <c r="I25" s="126"/>
      <c r="J25" s="19">
        <v>72753.29</v>
      </c>
      <c r="K25" s="19">
        <v>67465.36</v>
      </c>
      <c r="L25" s="46">
        <f>J25-K25</f>
        <v>5287.929999999993</v>
      </c>
      <c r="M25" s="19">
        <v>0</v>
      </c>
      <c r="N25" s="19">
        <v>0</v>
      </c>
      <c r="O25" s="46">
        <f>E25+H25-J25</f>
        <v>-6028.4100000000035</v>
      </c>
      <c r="P25" s="47">
        <f>F25+G25-H25</f>
        <v>16280.630000000005</v>
      </c>
      <c r="Q25" s="48">
        <f t="shared" si="5"/>
        <v>0.8122280049709212</v>
      </c>
      <c r="R25" s="49"/>
      <c r="S25" s="49"/>
      <c r="T25" s="49"/>
      <c r="U25" s="49"/>
      <c r="V25" s="49"/>
    </row>
    <row r="26" spans="1:22" s="50" customFormat="1" ht="17.25" customHeight="1">
      <c r="A26" s="51" t="s">
        <v>49</v>
      </c>
      <c r="B26" s="52" t="s">
        <v>48</v>
      </c>
      <c r="C26" s="53">
        <v>158.597</v>
      </c>
      <c r="D26" s="19">
        <v>0</v>
      </c>
      <c r="E26" s="19">
        <v>-32425.62</v>
      </c>
      <c r="F26" s="19">
        <v>46225.45</v>
      </c>
      <c r="G26" s="19">
        <v>165927.81</v>
      </c>
      <c r="H26" s="19">
        <v>152449.89</v>
      </c>
      <c r="I26" s="126"/>
      <c r="J26" s="19">
        <v>165927.81</v>
      </c>
      <c r="K26" s="19">
        <v>146045.97</v>
      </c>
      <c r="L26" s="46">
        <f>J26-K26</f>
        <v>19881.839999999997</v>
      </c>
      <c r="M26" s="19">
        <v>0</v>
      </c>
      <c r="N26" s="19">
        <v>0</v>
      </c>
      <c r="O26" s="46">
        <f>E26+H26-J26</f>
        <v>-45903.53999999998</v>
      </c>
      <c r="P26" s="47">
        <f>F26+G26-H26</f>
        <v>59703.369999999995</v>
      </c>
      <c r="Q26" s="48">
        <f t="shared" si="5"/>
        <v>0.7185837728819251</v>
      </c>
      <c r="R26" s="49"/>
      <c r="S26" s="49"/>
      <c r="T26" s="49"/>
      <c r="U26" s="49"/>
      <c r="V26" s="49"/>
    </row>
    <row r="27" spans="1:22" s="50" customFormat="1" ht="17.25" customHeight="1">
      <c r="A27" s="51" t="s">
        <v>50</v>
      </c>
      <c r="B27" s="52" t="s">
        <v>45</v>
      </c>
      <c r="C27" s="53">
        <f>1903.652</f>
        <v>1903.652</v>
      </c>
      <c r="D27" s="19">
        <v>0</v>
      </c>
      <c r="E27" s="19">
        <v>0</v>
      </c>
      <c r="F27" s="19">
        <v>3773.57</v>
      </c>
      <c r="G27" s="19">
        <v>34683.67</v>
      </c>
      <c r="H27" s="19">
        <v>31254.84</v>
      </c>
      <c r="I27" s="126" t="s">
        <v>51</v>
      </c>
      <c r="J27" s="19">
        <v>34683.67</v>
      </c>
      <c r="K27" s="19">
        <v>30567.33</v>
      </c>
      <c r="L27" s="46">
        <f>J27-K27</f>
        <v>4116.3399999999965</v>
      </c>
      <c r="M27" s="19">
        <v>0</v>
      </c>
      <c r="N27" s="19">
        <v>0</v>
      </c>
      <c r="O27" s="46">
        <f>E27+H27-J27</f>
        <v>-3428.829999999998</v>
      </c>
      <c r="P27" s="47">
        <f>F27+G27-H27</f>
        <v>7202.399999999998</v>
      </c>
      <c r="Q27" s="48">
        <f t="shared" si="5"/>
        <v>0.8127166692149516</v>
      </c>
      <c r="R27" s="49"/>
      <c r="S27" s="49"/>
      <c r="T27" s="49"/>
      <c r="U27" s="49"/>
      <c r="V27" s="49"/>
    </row>
    <row r="28" spans="1:22" s="50" customFormat="1" ht="17.25" customHeight="1" thickBot="1">
      <c r="A28" s="54" t="s">
        <v>52</v>
      </c>
      <c r="B28" s="55" t="s">
        <v>45</v>
      </c>
      <c r="C28" s="56">
        <v>2813.117</v>
      </c>
      <c r="D28" s="57">
        <v>0</v>
      </c>
      <c r="E28" s="57">
        <v>0</v>
      </c>
      <c r="F28" s="57">
        <v>4628.15</v>
      </c>
      <c r="G28" s="57">
        <v>69078.37</v>
      </c>
      <c r="H28" s="57">
        <v>57349.65</v>
      </c>
      <c r="I28" s="127"/>
      <c r="J28" s="57">
        <v>69078.37</v>
      </c>
      <c r="K28" s="57">
        <v>56094.8</v>
      </c>
      <c r="L28" s="46">
        <f>J28-K28</f>
        <v>12983.569999999992</v>
      </c>
      <c r="M28" s="57">
        <v>0</v>
      </c>
      <c r="N28" s="57">
        <v>0</v>
      </c>
      <c r="O28" s="46">
        <f>E28+H28-J28</f>
        <v>-11728.719999999994</v>
      </c>
      <c r="P28" s="47">
        <f>F28+G28-H28</f>
        <v>16356.869999999988</v>
      </c>
      <c r="Q28" s="58">
        <f t="shared" si="5"/>
        <v>0.7780810978458895</v>
      </c>
      <c r="R28" s="49"/>
      <c r="S28" s="49"/>
      <c r="T28" s="49"/>
      <c r="U28" s="49"/>
      <c r="V28" s="49"/>
    </row>
    <row r="29" spans="1:22" s="63" customFormat="1" ht="17.25" customHeight="1" thickBot="1">
      <c r="A29" s="59" t="s">
        <v>53</v>
      </c>
      <c r="B29" s="60"/>
      <c r="C29" s="61"/>
      <c r="D29" s="32">
        <f>SUM(D24:D28)</f>
        <v>0</v>
      </c>
      <c r="E29" s="32">
        <f aca="true" t="shared" si="6" ref="E29:P29">SUM(E24:E28)</f>
        <v>-37671.13</v>
      </c>
      <c r="F29" s="32">
        <f t="shared" si="6"/>
        <v>74419.13</v>
      </c>
      <c r="G29" s="32">
        <f t="shared" si="6"/>
        <v>371335.61</v>
      </c>
      <c r="H29" s="32">
        <f t="shared" si="6"/>
        <v>339656.78</v>
      </c>
      <c r="I29" s="32"/>
      <c r="J29" s="32">
        <f t="shared" si="6"/>
        <v>371335.61</v>
      </c>
      <c r="K29" s="32">
        <f t="shared" si="6"/>
        <v>327168.54</v>
      </c>
      <c r="L29" s="32">
        <f t="shared" si="6"/>
        <v>44167.06999999998</v>
      </c>
      <c r="M29" s="32">
        <f t="shared" si="6"/>
        <v>0</v>
      </c>
      <c r="N29" s="32">
        <f t="shared" si="6"/>
        <v>0</v>
      </c>
      <c r="O29" s="32">
        <f t="shared" si="6"/>
        <v>-69349.95999999999</v>
      </c>
      <c r="P29" s="33">
        <f t="shared" si="6"/>
        <v>106097.95999999999</v>
      </c>
      <c r="Q29" s="34">
        <f t="shared" si="5"/>
        <v>0.7619813083759918</v>
      </c>
      <c r="R29" s="62"/>
      <c r="S29" s="62"/>
      <c r="T29" s="62"/>
      <c r="U29" s="62"/>
      <c r="V29" s="62"/>
    </row>
    <row r="30" spans="1:17" ht="15">
      <c r="A30" s="35"/>
      <c r="B30" s="36"/>
      <c r="C30" s="36"/>
      <c r="D30" s="36"/>
      <c r="E30" s="36"/>
      <c r="F30" s="37"/>
      <c r="G30" s="37"/>
      <c r="H30" s="37"/>
      <c r="I30" s="37"/>
      <c r="J30" s="64"/>
      <c r="K30" s="64"/>
      <c r="L30" s="37"/>
      <c r="M30" s="36"/>
      <c r="N30" s="36"/>
      <c r="O30" s="36"/>
      <c r="P30" s="35"/>
      <c r="Q30" s="35"/>
    </row>
    <row r="31" spans="1:22" s="67" customFormat="1" ht="15">
      <c r="A31" s="65" t="s">
        <v>54</v>
      </c>
      <c r="B31" s="2"/>
      <c r="C31" s="2"/>
      <c r="D31" s="2"/>
      <c r="E31" s="2"/>
      <c r="F31" s="3"/>
      <c r="G31" s="37"/>
      <c r="H31" s="37"/>
      <c r="J31" s="37"/>
      <c r="K31" s="37"/>
      <c r="L31" s="37"/>
      <c r="M31" s="2"/>
      <c r="N31" s="2"/>
      <c r="O31" s="2"/>
      <c r="P31" s="35"/>
      <c r="Q31" s="35"/>
      <c r="R31" s="35"/>
      <c r="S31" s="35"/>
      <c r="T31" s="66"/>
      <c r="U31" s="66"/>
      <c r="V31" s="66"/>
    </row>
    <row r="32" spans="1:22" s="67" customFormat="1" ht="49.5" customHeight="1">
      <c r="A32" s="68" t="s">
        <v>55</v>
      </c>
      <c r="B32" s="68" t="s">
        <v>35</v>
      </c>
      <c r="C32" s="68" t="s">
        <v>56</v>
      </c>
      <c r="D32" s="68" t="s">
        <v>57</v>
      </c>
      <c r="E32" s="128" t="s">
        <v>58</v>
      </c>
      <c r="F32" s="128"/>
      <c r="G32" s="128" t="s">
        <v>59</v>
      </c>
      <c r="H32" s="128"/>
      <c r="I32" s="129" t="s">
        <v>60</v>
      </c>
      <c r="J32" s="129"/>
      <c r="K32" s="129"/>
      <c r="L32" s="129"/>
      <c r="M32" s="129"/>
      <c r="N32" s="129"/>
      <c r="O32" s="69"/>
      <c r="P32" s="69"/>
      <c r="Q32" s="69"/>
      <c r="R32" s="69"/>
      <c r="S32" s="35"/>
      <c r="T32" s="66"/>
      <c r="U32" s="66"/>
      <c r="V32" s="66"/>
    </row>
    <row r="33" spans="1:22" s="67" customFormat="1" ht="15.75">
      <c r="A33" s="130" t="s">
        <v>61</v>
      </c>
      <c r="B33" s="131"/>
      <c r="C33" s="132"/>
      <c r="D33" s="27">
        <f>D34+D40+D44+D48+D49+D50+D51</f>
        <v>174842.79</v>
      </c>
      <c r="E33" s="133"/>
      <c r="F33" s="133"/>
      <c r="G33" s="101"/>
      <c r="H33" s="101"/>
      <c r="I33" s="134"/>
      <c r="J33" s="134"/>
      <c r="K33" s="134"/>
      <c r="L33" s="134"/>
      <c r="M33" s="134"/>
      <c r="N33" s="134"/>
      <c r="O33" s="70"/>
      <c r="P33" s="70"/>
      <c r="Q33" s="70"/>
      <c r="R33" s="70"/>
      <c r="S33" s="35"/>
      <c r="T33" s="66"/>
      <c r="U33" s="66"/>
      <c r="V33" s="66"/>
    </row>
    <row r="34" spans="1:22" s="67" customFormat="1" ht="41.25" customHeight="1">
      <c r="A34" s="117" t="s">
        <v>62</v>
      </c>
      <c r="B34" s="118"/>
      <c r="C34" s="119"/>
      <c r="D34" s="71">
        <f>SUM(D35:D39)</f>
        <v>21646</v>
      </c>
      <c r="E34" s="95"/>
      <c r="F34" s="95"/>
      <c r="G34" s="120" t="s">
        <v>63</v>
      </c>
      <c r="H34" s="121"/>
      <c r="I34" s="108" t="s">
        <v>64</v>
      </c>
      <c r="J34" s="109"/>
      <c r="K34" s="109"/>
      <c r="L34" s="109"/>
      <c r="M34" s="109"/>
      <c r="N34" s="110"/>
      <c r="O34" s="72"/>
      <c r="P34" s="72"/>
      <c r="Q34" s="72"/>
      <c r="R34" s="72"/>
      <c r="S34" s="35"/>
      <c r="T34" s="66"/>
      <c r="U34" s="66"/>
      <c r="V34" s="66"/>
    </row>
    <row r="35" spans="1:22" s="67" customFormat="1" ht="30" customHeight="1">
      <c r="A35" s="73" t="s">
        <v>65</v>
      </c>
      <c r="B35" s="74" t="s">
        <v>66</v>
      </c>
      <c r="C35" s="19">
        <f>32*137</f>
        <v>4384</v>
      </c>
      <c r="D35" s="19">
        <f>C35</f>
        <v>4384</v>
      </c>
      <c r="E35" s="95" t="s">
        <v>67</v>
      </c>
      <c r="F35" s="95"/>
      <c r="G35" s="122"/>
      <c r="H35" s="123"/>
      <c r="I35" s="111"/>
      <c r="J35" s="112"/>
      <c r="K35" s="112"/>
      <c r="L35" s="112"/>
      <c r="M35" s="112"/>
      <c r="N35" s="113"/>
      <c r="O35" s="72"/>
      <c r="P35" s="72"/>
      <c r="Q35" s="72"/>
      <c r="R35" s="72"/>
      <c r="S35" s="35"/>
      <c r="T35" s="66"/>
      <c r="U35" s="66"/>
      <c r="V35" s="66"/>
    </row>
    <row r="36" spans="1:22" s="67" customFormat="1" ht="30.75" customHeight="1">
      <c r="A36" s="73" t="s">
        <v>68</v>
      </c>
      <c r="B36" s="74" t="s">
        <v>66</v>
      </c>
      <c r="C36" s="19">
        <f>70*137</f>
        <v>9590</v>
      </c>
      <c r="D36" s="19">
        <f>C36</f>
        <v>9590</v>
      </c>
      <c r="E36" s="95" t="s">
        <v>69</v>
      </c>
      <c r="F36" s="95"/>
      <c r="G36" s="122"/>
      <c r="H36" s="123"/>
      <c r="I36" s="111"/>
      <c r="J36" s="112"/>
      <c r="K36" s="112"/>
      <c r="L36" s="112"/>
      <c r="M36" s="112"/>
      <c r="N36" s="113"/>
      <c r="O36" s="72"/>
      <c r="P36" s="72"/>
      <c r="Q36" s="72"/>
      <c r="R36" s="72"/>
      <c r="S36" s="35"/>
      <c r="T36" s="66"/>
      <c r="U36" s="66"/>
      <c r="V36" s="66"/>
    </row>
    <row r="37" spans="1:22" s="67" customFormat="1" ht="15.75" customHeight="1">
      <c r="A37" s="73" t="s">
        <v>70</v>
      </c>
      <c r="B37" s="74" t="s">
        <v>66</v>
      </c>
      <c r="C37" s="19">
        <f>16*137</f>
        <v>2192</v>
      </c>
      <c r="D37" s="19">
        <f>C37</f>
        <v>2192</v>
      </c>
      <c r="E37" s="95" t="s">
        <v>71</v>
      </c>
      <c r="F37" s="95"/>
      <c r="G37" s="122"/>
      <c r="H37" s="123"/>
      <c r="I37" s="111"/>
      <c r="J37" s="112"/>
      <c r="K37" s="112"/>
      <c r="L37" s="112"/>
      <c r="M37" s="112"/>
      <c r="N37" s="113"/>
      <c r="O37" s="72"/>
      <c r="P37" s="72"/>
      <c r="Q37" s="72"/>
      <c r="R37" s="72"/>
      <c r="S37" s="35"/>
      <c r="T37" s="66"/>
      <c r="U37" s="66"/>
      <c r="V37" s="66"/>
    </row>
    <row r="38" spans="1:22" s="67" customFormat="1" ht="27" customHeight="1">
      <c r="A38" s="73" t="s">
        <v>72</v>
      </c>
      <c r="B38" s="74" t="s">
        <v>66</v>
      </c>
      <c r="C38" s="19">
        <f>24*137</f>
        <v>3288</v>
      </c>
      <c r="D38" s="19">
        <f>C38</f>
        <v>3288</v>
      </c>
      <c r="E38" s="95" t="s">
        <v>69</v>
      </c>
      <c r="F38" s="95"/>
      <c r="G38" s="122"/>
      <c r="H38" s="123"/>
      <c r="I38" s="111"/>
      <c r="J38" s="112"/>
      <c r="K38" s="112"/>
      <c r="L38" s="112"/>
      <c r="M38" s="112"/>
      <c r="N38" s="113"/>
      <c r="O38" s="72"/>
      <c r="P38" s="72"/>
      <c r="Q38" s="72"/>
      <c r="R38" s="72"/>
      <c r="S38" s="35"/>
      <c r="T38" s="66"/>
      <c r="U38" s="66"/>
      <c r="V38" s="66"/>
    </row>
    <row r="39" spans="1:22" s="67" customFormat="1" ht="30" customHeight="1">
      <c r="A39" s="73" t="s">
        <v>73</v>
      </c>
      <c r="B39" s="74" t="s">
        <v>66</v>
      </c>
      <c r="C39" s="19">
        <f>16*137</f>
        <v>2192</v>
      </c>
      <c r="D39" s="19">
        <f>C39</f>
        <v>2192</v>
      </c>
      <c r="E39" s="95" t="s">
        <v>74</v>
      </c>
      <c r="F39" s="95"/>
      <c r="G39" s="124"/>
      <c r="H39" s="125"/>
      <c r="I39" s="114"/>
      <c r="J39" s="115"/>
      <c r="K39" s="115"/>
      <c r="L39" s="115"/>
      <c r="M39" s="115"/>
      <c r="N39" s="116"/>
      <c r="O39" s="72"/>
      <c r="P39" s="72"/>
      <c r="Q39" s="72"/>
      <c r="R39" s="72"/>
      <c r="S39" s="35"/>
      <c r="T39" s="66"/>
      <c r="U39" s="66"/>
      <c r="V39" s="66"/>
    </row>
    <row r="40" spans="1:22" s="67" customFormat="1" ht="28.5" customHeight="1">
      <c r="A40" s="103" t="s">
        <v>75</v>
      </c>
      <c r="B40" s="104"/>
      <c r="C40" s="105"/>
      <c r="D40" s="71">
        <f>SUM(D41:D43)</f>
        <v>8341</v>
      </c>
      <c r="E40" s="95"/>
      <c r="F40" s="95"/>
      <c r="G40" s="96" t="s">
        <v>63</v>
      </c>
      <c r="H40" s="96"/>
      <c r="I40" s="108" t="s">
        <v>76</v>
      </c>
      <c r="J40" s="109"/>
      <c r="K40" s="109"/>
      <c r="L40" s="109"/>
      <c r="M40" s="109"/>
      <c r="N40" s="110"/>
      <c r="O40" s="75"/>
      <c r="P40" s="75"/>
      <c r="Q40" s="75"/>
      <c r="R40" s="75"/>
      <c r="S40" s="35"/>
      <c r="T40" s="66"/>
      <c r="U40" s="66"/>
      <c r="V40" s="66"/>
    </row>
    <row r="41" spans="1:22" s="67" customFormat="1" ht="22.5" customHeight="1">
      <c r="A41" s="73" t="s">
        <v>77</v>
      </c>
      <c r="B41" s="74" t="s">
        <v>66</v>
      </c>
      <c r="C41" s="19">
        <v>3135</v>
      </c>
      <c r="D41" s="19">
        <f>C41</f>
        <v>3135</v>
      </c>
      <c r="E41" s="95" t="s">
        <v>78</v>
      </c>
      <c r="F41" s="95"/>
      <c r="G41" s="96"/>
      <c r="H41" s="96"/>
      <c r="I41" s="111"/>
      <c r="J41" s="112"/>
      <c r="K41" s="112"/>
      <c r="L41" s="112"/>
      <c r="M41" s="112"/>
      <c r="N41" s="113"/>
      <c r="O41" s="76"/>
      <c r="P41" s="76"/>
      <c r="Q41" s="76"/>
      <c r="R41" s="76"/>
      <c r="S41" s="35"/>
      <c r="T41" s="66"/>
      <c r="U41" s="66"/>
      <c r="V41" s="66"/>
    </row>
    <row r="42" spans="1:22" s="67" customFormat="1" ht="30.75" customHeight="1">
      <c r="A42" s="73" t="s">
        <v>79</v>
      </c>
      <c r="B42" s="74" t="s">
        <v>66</v>
      </c>
      <c r="C42" s="19">
        <f>30*137</f>
        <v>4110</v>
      </c>
      <c r="D42" s="19">
        <f>C42</f>
        <v>4110</v>
      </c>
      <c r="E42" s="95" t="s">
        <v>71</v>
      </c>
      <c r="F42" s="95"/>
      <c r="G42" s="96"/>
      <c r="H42" s="96"/>
      <c r="I42" s="111"/>
      <c r="J42" s="112"/>
      <c r="K42" s="112"/>
      <c r="L42" s="112"/>
      <c r="M42" s="112"/>
      <c r="N42" s="113"/>
      <c r="O42" s="76"/>
      <c r="P42" s="76"/>
      <c r="Q42" s="76"/>
      <c r="R42" s="76"/>
      <c r="S42" s="35"/>
      <c r="T42" s="66"/>
      <c r="U42" s="66"/>
      <c r="V42" s="66"/>
    </row>
    <row r="43" spans="1:22" s="67" customFormat="1" ht="31.5" customHeight="1">
      <c r="A43" s="73" t="s">
        <v>80</v>
      </c>
      <c r="B43" s="74" t="s">
        <v>66</v>
      </c>
      <c r="C43" s="19">
        <f>8*137</f>
        <v>1096</v>
      </c>
      <c r="D43" s="19">
        <f>C43</f>
        <v>1096</v>
      </c>
      <c r="E43" s="95" t="s">
        <v>71</v>
      </c>
      <c r="F43" s="95"/>
      <c r="G43" s="96"/>
      <c r="H43" s="96"/>
      <c r="I43" s="114"/>
      <c r="J43" s="115"/>
      <c r="K43" s="115"/>
      <c r="L43" s="115"/>
      <c r="M43" s="115"/>
      <c r="N43" s="116"/>
      <c r="O43" s="76"/>
      <c r="P43" s="76"/>
      <c r="Q43" s="76"/>
      <c r="R43" s="76"/>
      <c r="S43" s="35"/>
      <c r="T43" s="66"/>
      <c r="U43" s="66"/>
      <c r="V43" s="66"/>
    </row>
    <row r="44" spans="1:22" s="67" customFormat="1" ht="45" customHeight="1">
      <c r="A44" s="103" t="s">
        <v>81</v>
      </c>
      <c r="B44" s="104"/>
      <c r="C44" s="105"/>
      <c r="D44" s="71">
        <f>SUM(D45:D47)</f>
        <v>17193.5</v>
      </c>
      <c r="E44" s="106"/>
      <c r="F44" s="107"/>
      <c r="G44" s="96" t="s">
        <v>63</v>
      </c>
      <c r="H44" s="96"/>
      <c r="I44" s="108" t="s">
        <v>82</v>
      </c>
      <c r="J44" s="109"/>
      <c r="K44" s="109"/>
      <c r="L44" s="109"/>
      <c r="M44" s="109"/>
      <c r="N44" s="110"/>
      <c r="O44" s="76"/>
      <c r="P44" s="76"/>
      <c r="Q44" s="76"/>
      <c r="R44" s="76"/>
      <c r="S44" s="35"/>
      <c r="T44" s="66"/>
      <c r="U44" s="66"/>
      <c r="V44" s="66"/>
    </row>
    <row r="45" spans="1:22" s="67" customFormat="1" ht="24.75" customHeight="1">
      <c r="A45" s="73" t="s">
        <v>143</v>
      </c>
      <c r="B45" s="74" t="s">
        <v>66</v>
      </c>
      <c r="C45" s="19">
        <f>8.5*137</f>
        <v>1164.5</v>
      </c>
      <c r="D45" s="19">
        <f aca="true" t="shared" si="7" ref="D45:D50">C45</f>
        <v>1164.5</v>
      </c>
      <c r="E45" s="95" t="s">
        <v>69</v>
      </c>
      <c r="F45" s="95"/>
      <c r="G45" s="96"/>
      <c r="H45" s="96"/>
      <c r="I45" s="111"/>
      <c r="J45" s="112"/>
      <c r="K45" s="112"/>
      <c r="L45" s="112"/>
      <c r="M45" s="112"/>
      <c r="N45" s="113"/>
      <c r="O45" s="76"/>
      <c r="P45" s="76"/>
      <c r="Q45" s="76"/>
      <c r="R45" s="76"/>
      <c r="S45" s="35"/>
      <c r="T45" s="66"/>
      <c r="U45" s="66"/>
      <c r="V45" s="66"/>
    </row>
    <row r="46" spans="1:22" s="67" customFormat="1" ht="24.75" customHeight="1">
      <c r="A46" s="73" t="s">
        <v>85</v>
      </c>
      <c r="B46" s="74" t="s">
        <v>66</v>
      </c>
      <c r="C46" s="19">
        <f>72*137</f>
        <v>9864</v>
      </c>
      <c r="D46" s="19">
        <f t="shared" si="7"/>
        <v>9864</v>
      </c>
      <c r="E46" s="95"/>
      <c r="F46" s="95"/>
      <c r="G46" s="96"/>
      <c r="H46" s="96"/>
      <c r="I46" s="111"/>
      <c r="J46" s="112"/>
      <c r="K46" s="112"/>
      <c r="L46" s="112"/>
      <c r="M46" s="112"/>
      <c r="N46" s="113"/>
      <c r="O46" s="76"/>
      <c r="P46" s="76"/>
      <c r="Q46" s="76"/>
      <c r="R46" s="76"/>
      <c r="S46" s="35"/>
      <c r="T46" s="66"/>
      <c r="U46" s="66"/>
      <c r="V46" s="66"/>
    </row>
    <row r="47" spans="1:22" s="67" customFormat="1" ht="32.25" customHeight="1">
      <c r="A47" s="73" t="s">
        <v>86</v>
      </c>
      <c r="B47" s="74" t="s">
        <v>66</v>
      </c>
      <c r="C47" s="19">
        <f>45*137</f>
        <v>6165</v>
      </c>
      <c r="D47" s="19">
        <f t="shared" si="7"/>
        <v>6165</v>
      </c>
      <c r="E47" s="95"/>
      <c r="F47" s="95"/>
      <c r="G47" s="96"/>
      <c r="H47" s="96"/>
      <c r="I47" s="114"/>
      <c r="J47" s="115"/>
      <c r="K47" s="115"/>
      <c r="L47" s="115"/>
      <c r="M47" s="115"/>
      <c r="N47" s="116"/>
      <c r="O47" s="76"/>
      <c r="P47" s="76"/>
      <c r="Q47" s="76"/>
      <c r="R47" s="76"/>
      <c r="S47" s="35"/>
      <c r="T47" s="66"/>
      <c r="U47" s="66"/>
      <c r="V47" s="66"/>
    </row>
    <row r="48" spans="1:22" s="67" customFormat="1" ht="18.75" customHeight="1">
      <c r="A48" s="77" t="s">
        <v>87</v>
      </c>
      <c r="B48" s="74" t="s">
        <v>66</v>
      </c>
      <c r="C48" s="19">
        <f>E16</f>
        <v>21451.04</v>
      </c>
      <c r="D48" s="71">
        <f t="shared" si="7"/>
        <v>21451.04</v>
      </c>
      <c r="E48" s="95" t="s">
        <v>88</v>
      </c>
      <c r="F48" s="95"/>
      <c r="G48" s="98" t="s">
        <v>63</v>
      </c>
      <c r="H48" s="98"/>
      <c r="I48" s="99" t="s">
        <v>87</v>
      </c>
      <c r="J48" s="99"/>
      <c r="K48" s="99"/>
      <c r="L48" s="99"/>
      <c r="M48" s="99"/>
      <c r="N48" s="99"/>
      <c r="O48" s="78"/>
      <c r="P48" s="78"/>
      <c r="Q48" s="78"/>
      <c r="R48" s="78"/>
      <c r="S48" s="35"/>
      <c r="T48" s="66"/>
      <c r="U48" s="66"/>
      <c r="V48" s="66"/>
    </row>
    <row r="49" spans="1:22" s="67" customFormat="1" ht="30.75" customHeight="1">
      <c r="A49" s="77" t="s">
        <v>89</v>
      </c>
      <c r="B49" s="74" t="s">
        <v>66</v>
      </c>
      <c r="C49" s="19">
        <f>E17</f>
        <v>19475.08</v>
      </c>
      <c r="D49" s="71">
        <f t="shared" si="7"/>
        <v>19475.08</v>
      </c>
      <c r="E49" s="95" t="s">
        <v>90</v>
      </c>
      <c r="F49" s="95"/>
      <c r="G49" s="96" t="s">
        <v>91</v>
      </c>
      <c r="H49" s="96"/>
      <c r="I49" s="102" t="s">
        <v>89</v>
      </c>
      <c r="J49" s="102"/>
      <c r="K49" s="102"/>
      <c r="L49" s="102"/>
      <c r="M49" s="102"/>
      <c r="N49" s="102"/>
      <c r="O49" s="75"/>
      <c r="P49" s="75"/>
      <c r="Q49" s="75"/>
      <c r="R49" s="75"/>
      <c r="S49" s="35"/>
      <c r="T49" s="66"/>
      <c r="U49" s="66"/>
      <c r="V49" s="66"/>
    </row>
    <row r="50" spans="1:22" s="67" customFormat="1" ht="17.25" customHeight="1">
      <c r="A50" s="77" t="s">
        <v>92</v>
      </c>
      <c r="B50" s="74" t="s">
        <v>66</v>
      </c>
      <c r="C50" s="19">
        <f>E18</f>
        <v>35675.96</v>
      </c>
      <c r="D50" s="71">
        <f t="shared" si="7"/>
        <v>35675.96</v>
      </c>
      <c r="E50" s="95" t="s">
        <v>88</v>
      </c>
      <c r="F50" s="95"/>
      <c r="G50" s="98" t="s">
        <v>63</v>
      </c>
      <c r="H50" s="98"/>
      <c r="I50" s="99" t="s">
        <v>92</v>
      </c>
      <c r="J50" s="99"/>
      <c r="K50" s="99"/>
      <c r="L50" s="99"/>
      <c r="M50" s="99"/>
      <c r="N50" s="99"/>
      <c r="O50" s="78"/>
      <c r="P50" s="78"/>
      <c r="Q50" s="78"/>
      <c r="R50" s="78"/>
      <c r="S50" s="35"/>
      <c r="T50" s="66"/>
      <c r="U50" s="66"/>
      <c r="V50" s="66"/>
    </row>
    <row r="51" spans="1:22" s="83" customFormat="1" ht="15">
      <c r="A51" s="79" t="s">
        <v>93</v>
      </c>
      <c r="B51" s="74"/>
      <c r="C51" s="27"/>
      <c r="D51" s="71">
        <f>SUM(D52:D53)</f>
        <v>51060.21</v>
      </c>
      <c r="E51" s="100"/>
      <c r="F51" s="100"/>
      <c r="G51" s="147"/>
      <c r="H51" s="148"/>
      <c r="I51" s="80"/>
      <c r="J51" s="80"/>
      <c r="K51" s="80"/>
      <c r="L51" s="80"/>
      <c r="M51" s="80"/>
      <c r="N51" s="2"/>
      <c r="O51" s="2"/>
      <c r="P51" s="2"/>
      <c r="Q51" s="81"/>
      <c r="R51" s="81"/>
      <c r="S51" s="81"/>
      <c r="T51" s="82"/>
      <c r="U51" s="82"/>
      <c r="V51" s="82"/>
    </row>
    <row r="52" spans="1:22" s="83" customFormat="1" ht="17.25" customHeight="1">
      <c r="A52" s="84" t="s">
        <v>144</v>
      </c>
      <c r="B52" s="74" t="s">
        <v>66</v>
      </c>
      <c r="C52" s="19">
        <f>D52</f>
        <v>7986.21</v>
      </c>
      <c r="D52" s="19">
        <f>5986.21+2000</f>
        <v>7986.21</v>
      </c>
      <c r="E52" s="95" t="s">
        <v>145</v>
      </c>
      <c r="F52" s="95"/>
      <c r="G52" s="98" t="s">
        <v>63</v>
      </c>
      <c r="H52" s="98"/>
      <c r="I52" s="80"/>
      <c r="J52" s="80"/>
      <c r="K52" s="80"/>
      <c r="L52" s="80"/>
      <c r="M52" s="2"/>
      <c r="N52" s="2"/>
      <c r="O52" s="2"/>
      <c r="P52" s="81"/>
      <c r="Q52" s="81"/>
      <c r="R52" s="81"/>
      <c r="S52" s="81"/>
      <c r="T52" s="82"/>
      <c r="U52" s="82"/>
      <c r="V52" s="82"/>
    </row>
    <row r="53" spans="1:22" s="83" customFormat="1" ht="22.5" customHeight="1">
      <c r="A53" s="84" t="s">
        <v>129</v>
      </c>
      <c r="B53" s="74" t="s">
        <v>66</v>
      </c>
      <c r="C53" s="19">
        <f>D53</f>
        <v>43074</v>
      </c>
      <c r="D53" s="19">
        <f>34483+5209+1773.5+1111+497.5</f>
        <v>43074</v>
      </c>
      <c r="E53" s="95" t="s">
        <v>84</v>
      </c>
      <c r="F53" s="95"/>
      <c r="G53" s="98" t="s">
        <v>63</v>
      </c>
      <c r="H53" s="98"/>
      <c r="I53" s="80"/>
      <c r="J53" s="80"/>
      <c r="K53" s="80"/>
      <c r="L53" s="80"/>
      <c r="M53" s="2"/>
      <c r="N53" s="2"/>
      <c r="O53" s="2"/>
      <c r="P53" s="81"/>
      <c r="Q53" s="81"/>
      <c r="R53" s="81"/>
      <c r="S53" s="81"/>
      <c r="T53" s="82"/>
      <c r="U53" s="82"/>
      <c r="V53" s="82"/>
    </row>
    <row r="55" ht="15.75">
      <c r="A55" s="1" t="s">
        <v>99</v>
      </c>
    </row>
    <row r="56" spans="2:22" s="90" customFormat="1" ht="15">
      <c r="B56" s="2"/>
      <c r="C56" s="2"/>
      <c r="D56" s="2"/>
      <c r="E56" s="85" t="s">
        <v>100</v>
      </c>
      <c r="F56" s="85" t="s">
        <v>101</v>
      </c>
      <c r="G56" s="86" t="s">
        <v>102</v>
      </c>
      <c r="H56" s="3"/>
      <c r="I56" s="3"/>
      <c r="J56" s="3"/>
      <c r="K56" s="3"/>
      <c r="L56" s="3"/>
      <c r="M56" s="2"/>
      <c r="N56" s="2"/>
      <c r="O56" s="2"/>
      <c r="P56" s="4"/>
      <c r="Q56" s="4"/>
      <c r="R56" s="4"/>
      <c r="S56" s="4"/>
      <c r="T56" s="4"/>
      <c r="U56" s="4"/>
      <c r="V56" s="4"/>
    </row>
    <row r="57" spans="1:22" s="90" customFormat="1" ht="29.25" customHeight="1">
      <c r="A57" s="93" t="s">
        <v>103</v>
      </c>
      <c r="B57" s="93"/>
      <c r="C57" s="93"/>
      <c r="D57" s="91" t="s">
        <v>104</v>
      </c>
      <c r="E57" s="74">
        <v>1</v>
      </c>
      <c r="F57" s="74">
        <v>0</v>
      </c>
      <c r="G57" s="145" t="s">
        <v>136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4"/>
      <c r="S57" s="4"/>
      <c r="T57" s="4"/>
      <c r="U57" s="4"/>
      <c r="V57" s="4"/>
    </row>
    <row r="58" spans="1:22" s="90" customFormat="1" ht="33" customHeight="1">
      <c r="A58" s="93" t="s">
        <v>106</v>
      </c>
      <c r="B58" s="93"/>
      <c r="C58" s="93"/>
      <c r="D58" s="91" t="s">
        <v>104</v>
      </c>
      <c r="E58" s="74">
        <v>1</v>
      </c>
      <c r="F58" s="74">
        <v>0</v>
      </c>
      <c r="G58" s="97" t="s">
        <v>137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4"/>
      <c r="T58" s="4"/>
      <c r="U58" s="4"/>
      <c r="V58" s="4"/>
    </row>
    <row r="59" spans="1:22" s="90" customFormat="1" ht="32.25" customHeight="1">
      <c r="A59" s="93" t="s">
        <v>108</v>
      </c>
      <c r="B59" s="93"/>
      <c r="C59" s="93"/>
      <c r="D59" s="91" t="s">
        <v>104</v>
      </c>
      <c r="E59" s="74">
        <v>0</v>
      </c>
      <c r="F59" s="74">
        <v>0</v>
      </c>
      <c r="G59" s="97" t="s">
        <v>138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4"/>
      <c r="T59" s="4"/>
      <c r="U59" s="4"/>
      <c r="V59" s="4"/>
    </row>
    <row r="60" spans="1:22" s="90" customFormat="1" ht="30" customHeight="1">
      <c r="A60" s="93" t="s">
        <v>110</v>
      </c>
      <c r="B60" s="93"/>
      <c r="C60" s="93"/>
      <c r="D60" s="91" t="s">
        <v>111</v>
      </c>
      <c r="E60" s="19">
        <v>0</v>
      </c>
      <c r="F60" s="19">
        <v>0</v>
      </c>
      <c r="G60" s="92" t="s">
        <v>139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4"/>
      <c r="T60" s="4"/>
      <c r="U60" s="4"/>
      <c r="V60" s="4"/>
    </row>
    <row r="61" spans="1:22" s="90" customFormat="1" ht="19.5" customHeight="1">
      <c r="A61" s="4"/>
      <c r="B61" s="2"/>
      <c r="C61" s="2"/>
      <c r="D61" s="2"/>
      <c r="E61" s="2"/>
      <c r="F61" s="3"/>
      <c r="R61" s="4"/>
      <c r="S61" s="4"/>
      <c r="T61" s="4"/>
      <c r="U61" s="4"/>
      <c r="V61" s="4"/>
    </row>
    <row r="62" spans="1:22" s="90" customFormat="1" ht="24" customHeight="1">
      <c r="A62" s="1" t="s">
        <v>112</v>
      </c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2"/>
      <c r="N62" s="2"/>
      <c r="O62" s="2"/>
      <c r="P62" s="4"/>
      <c r="Q62" s="4"/>
      <c r="R62" s="4"/>
      <c r="S62" s="4"/>
      <c r="T62" s="4"/>
      <c r="U62" s="4"/>
      <c r="V62" s="4"/>
    </row>
    <row r="63" spans="1:22" s="90" customFormat="1" ht="24" customHeight="1">
      <c r="A63" s="93" t="s">
        <v>113</v>
      </c>
      <c r="B63" s="93"/>
      <c r="C63" s="93"/>
      <c r="D63" s="74" t="s">
        <v>104</v>
      </c>
      <c r="E63" s="74">
        <v>11</v>
      </c>
      <c r="F63" s="3"/>
      <c r="G63" s="3"/>
      <c r="H63" s="3"/>
      <c r="I63" s="3"/>
      <c r="J63" s="3"/>
      <c r="K63" s="3"/>
      <c r="L63" s="3"/>
      <c r="M63" s="2"/>
      <c r="N63" s="2"/>
      <c r="O63" s="2"/>
      <c r="P63" s="4"/>
      <c r="Q63" s="4"/>
      <c r="R63" s="4"/>
      <c r="S63" s="4"/>
      <c r="T63" s="4"/>
      <c r="U63" s="4"/>
      <c r="V63" s="4"/>
    </row>
    <row r="64" spans="1:22" s="90" customFormat="1" ht="24" customHeight="1">
      <c r="A64" s="93" t="s">
        <v>114</v>
      </c>
      <c r="B64" s="93"/>
      <c r="C64" s="93"/>
      <c r="D64" s="74" t="s">
        <v>104</v>
      </c>
      <c r="E64" s="74">
        <v>2</v>
      </c>
      <c r="F64" s="3"/>
      <c r="G64" s="3"/>
      <c r="H64" s="3"/>
      <c r="I64" s="3"/>
      <c r="J64" s="3"/>
      <c r="K64" s="3"/>
      <c r="L64" s="3"/>
      <c r="M64" s="2"/>
      <c r="N64" s="2"/>
      <c r="O64" s="2"/>
      <c r="P64" s="4"/>
      <c r="Q64" s="4"/>
      <c r="R64" s="4"/>
      <c r="S64" s="4"/>
      <c r="T64" s="4"/>
      <c r="U64" s="4"/>
      <c r="V64" s="4"/>
    </row>
    <row r="65" spans="1:22" s="90" customFormat="1" ht="31.5" customHeight="1">
      <c r="A65" s="93" t="s">
        <v>115</v>
      </c>
      <c r="B65" s="93"/>
      <c r="C65" s="93"/>
      <c r="D65" s="74" t="s">
        <v>111</v>
      </c>
      <c r="E65" s="19">
        <v>83857.96</v>
      </c>
      <c r="F65" s="3"/>
      <c r="G65" s="3"/>
      <c r="H65" s="3"/>
      <c r="I65" s="3"/>
      <c r="J65" s="3"/>
      <c r="K65" s="3"/>
      <c r="L65" s="3"/>
      <c r="M65" s="2"/>
      <c r="N65" s="2"/>
      <c r="O65" s="2"/>
      <c r="P65" s="4"/>
      <c r="Q65" s="4"/>
      <c r="R65" s="4"/>
      <c r="S65" s="4"/>
      <c r="T65" s="4"/>
      <c r="U65" s="4"/>
      <c r="V65" s="4"/>
    </row>
    <row r="69" spans="1:2" ht="15">
      <c r="A69" s="4" t="s">
        <v>116</v>
      </c>
      <c r="B69" s="2" t="s">
        <v>117</v>
      </c>
    </row>
  </sheetData>
  <sheetProtection/>
  <mergeCells count="67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6"/>
    <mergeCell ref="I27:I28"/>
    <mergeCell ref="E32:F32"/>
    <mergeCell ref="G32:H32"/>
    <mergeCell ref="I32:N32"/>
    <mergeCell ref="A33:C33"/>
    <mergeCell ref="E33:F33"/>
    <mergeCell ref="G33:H33"/>
    <mergeCell ref="I33:N33"/>
    <mergeCell ref="A34:C34"/>
    <mergeCell ref="E34:F34"/>
    <mergeCell ref="G34:H39"/>
    <mergeCell ref="I34:N39"/>
    <mergeCell ref="E35:F35"/>
    <mergeCell ref="E36:F36"/>
    <mergeCell ref="E37:F37"/>
    <mergeCell ref="E38:F38"/>
    <mergeCell ref="E39:F39"/>
    <mergeCell ref="A40:C40"/>
    <mergeCell ref="E40:F40"/>
    <mergeCell ref="G40:H43"/>
    <mergeCell ref="I40:N43"/>
    <mergeCell ref="E41:F41"/>
    <mergeCell ref="E42:F42"/>
    <mergeCell ref="E43:F43"/>
    <mergeCell ref="A44:C44"/>
    <mergeCell ref="E44:F44"/>
    <mergeCell ref="G44:H47"/>
    <mergeCell ref="I44:N47"/>
    <mergeCell ref="E45:F47"/>
    <mergeCell ref="E48:F48"/>
    <mergeCell ref="G48:H48"/>
    <mergeCell ref="I48:N48"/>
    <mergeCell ref="E49:F49"/>
    <mergeCell ref="G49:H49"/>
    <mergeCell ref="I49:N49"/>
    <mergeCell ref="E50:F50"/>
    <mergeCell ref="G50:H50"/>
    <mergeCell ref="I50:N50"/>
    <mergeCell ref="G59:Q59"/>
    <mergeCell ref="E51:F51"/>
    <mergeCell ref="G51:H51"/>
    <mergeCell ref="E52:F52"/>
    <mergeCell ref="G52:H52"/>
    <mergeCell ref="E53:F53"/>
    <mergeCell ref="G53:H53"/>
    <mergeCell ref="A60:C60"/>
    <mergeCell ref="G60:Q60"/>
    <mergeCell ref="A63:C63"/>
    <mergeCell ref="A64:C64"/>
    <mergeCell ref="A65:C65"/>
    <mergeCell ref="A57:C57"/>
    <mergeCell ref="G57:Q57"/>
    <mergeCell ref="A58:C58"/>
    <mergeCell ref="G58:Q58"/>
    <mergeCell ref="A59:C59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2016-03-09T05:21:04Z</dcterms:created>
  <dcterms:modified xsi:type="dcterms:W3CDTF">2016-03-16T03:24:49Z</dcterms:modified>
  <cp:category/>
  <cp:version/>
  <cp:contentType/>
  <cp:contentStatus/>
</cp:coreProperties>
</file>